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ento_sešit" defaultThemeVersion="124226"/>
  <bookViews>
    <workbookView xWindow="-156" yWindow="-96" windowWidth="19320" windowHeight="11760" tabRatio="977" firstSheet="12" activeTab="12"/>
  </bookViews>
  <sheets>
    <sheet name="Investor" sheetId="8" state="hidden" r:id="rId1"/>
    <sheet name="zákazník" sheetId="25" state="hidden" r:id="rId2"/>
    <sheet name="Krycí list" sheetId="1" state="hidden" r:id="rId3"/>
    <sheet name="Rozpočet-sumář" sheetId="2" state="hidden" r:id="rId4"/>
    <sheet name="Položky sumář" sheetId="24" state="hidden" r:id="rId5"/>
    <sheet name="Standardy" sheetId="22" state="hidden" r:id="rId6"/>
    <sheet name="Položky" sheetId="3" state="hidden" r:id="rId7"/>
    <sheet name="Okna" sheetId="7" state="hidden" r:id="rId8"/>
    <sheet name="Výkaz výměr" sheetId="4" state="hidden" r:id="rId9"/>
    <sheet name="Náklady" sheetId="5" state="hidden" r:id="rId10"/>
    <sheet name="Vyúčtování" sheetId="18" state="hidden" r:id="rId11"/>
    <sheet name="Zisk1" sheetId="26" state="hidden" r:id="rId12"/>
    <sheet name="Krycí list (2)" sheetId="28" r:id="rId13"/>
    <sheet name="Rozpočet-sumář (2)" sheetId="29" r:id="rId14"/>
    <sheet name="Položky sumář (2)" sheetId="30" r:id="rId15"/>
    <sheet name="List2" sheetId="27" state="hidden" r:id="rId16"/>
  </sheets>
  <externalReferences>
    <externalReference r:id="rId17"/>
  </externalReferences>
  <definedNames>
    <definedName name="_BPK1" localSheetId="12">Položky!#REF!</definedName>
    <definedName name="_BPK1" localSheetId="14">Položky!#REF!</definedName>
    <definedName name="_BPK1" localSheetId="13">Položky!#REF!</definedName>
    <definedName name="_BPK1" localSheetId="5">[1]Položky!#REF!</definedName>
    <definedName name="_BPK1">Položky!#REF!</definedName>
    <definedName name="_BPK2" localSheetId="12">Položky!#REF!</definedName>
    <definedName name="_BPK2" localSheetId="14">Položky!#REF!</definedName>
    <definedName name="_BPK2" localSheetId="13">Položky!#REF!</definedName>
    <definedName name="_BPK2" localSheetId="5">[1]Položky!#REF!</definedName>
    <definedName name="_BPK2">Položky!#REF!</definedName>
    <definedName name="_BPK3" localSheetId="12">Položky!#REF!</definedName>
    <definedName name="_BPK3" localSheetId="14">Položky!#REF!</definedName>
    <definedName name="_BPK3" localSheetId="13">Položky!#REF!</definedName>
    <definedName name="_BPK3" localSheetId="5">[1]Položky!#REF!</definedName>
    <definedName name="_BPK3">Položky!#REF!</definedName>
    <definedName name="cisloobjektu" localSheetId="12">'Krycí list (2)'!$A$10</definedName>
    <definedName name="cisloobjektu" localSheetId="5">'[1]Krycí list'!$A$11</definedName>
    <definedName name="cisloobjektu">'Krycí list'!$A$10</definedName>
    <definedName name="cislostavby" localSheetId="12">'Krycí list (2)'!$A$12</definedName>
    <definedName name="cislostavby" localSheetId="5">'[1]Krycí list'!$A$13</definedName>
    <definedName name="cislostavby">'Krycí list'!$A$12</definedName>
    <definedName name="Datum" localSheetId="12">'Krycí list (2)'!$B$30</definedName>
    <definedName name="Datum">'Krycí list'!$B$30</definedName>
    <definedName name="Dil" localSheetId="13">'Rozpočet-sumář (2)'!$A$5</definedName>
    <definedName name="Dil">'Rozpočet-sumář'!$A$5</definedName>
    <definedName name="Dodavka" localSheetId="13">'Rozpočet-sumář (2)'!$G$21</definedName>
    <definedName name="Dodavka" localSheetId="5">'[1]Rozpočet-sumář'!$G$21</definedName>
    <definedName name="Dodavka">'Rozpočet-sumář'!$G$21</definedName>
    <definedName name="Dodavka0" localSheetId="12">Položky!#REF!</definedName>
    <definedName name="Dodavka0" localSheetId="14">Položky!#REF!</definedName>
    <definedName name="Dodavka0" localSheetId="13">Položky!#REF!</definedName>
    <definedName name="Dodavka0" localSheetId="5">[1]Položky!#REF!</definedName>
    <definedName name="Dodavka0">Položky!#REF!</definedName>
    <definedName name="HSV" localSheetId="13">'Rozpočet-sumář (2)'!$E$21</definedName>
    <definedName name="HSV" localSheetId="5">'[1]Rozpočet-sumář'!$E$21</definedName>
    <definedName name="HSV">'Rozpočet-sumář'!$E$21</definedName>
    <definedName name="HSV0" localSheetId="12">Položky!#REF!</definedName>
    <definedName name="HSV0" localSheetId="14">Položky!#REF!</definedName>
    <definedName name="HSV0" localSheetId="13">Položky!#REF!</definedName>
    <definedName name="HSV0" localSheetId="5">[1]Položky!#REF!</definedName>
    <definedName name="HSV0">Položky!#REF!</definedName>
    <definedName name="HZS" localSheetId="13">'Rozpočet-sumář (2)'!$I$21</definedName>
    <definedName name="HZS" localSheetId="5">'[1]Rozpočet-sumář'!$I$21</definedName>
    <definedName name="HZS">'Rozpočet-sumář'!$I$21</definedName>
    <definedName name="HZS0" localSheetId="12">Položky!#REF!</definedName>
    <definedName name="HZS0" localSheetId="14">Položky!#REF!</definedName>
    <definedName name="HZS0" localSheetId="13">Položky!#REF!</definedName>
    <definedName name="HZS0" localSheetId="5">[1]Položky!#REF!</definedName>
    <definedName name="HZS0">Položky!#REF!</definedName>
    <definedName name="JKSO" localSheetId="12">'Krycí list (2)'!$F$10</definedName>
    <definedName name="JKSO">'Krycí list'!$F$10</definedName>
    <definedName name="MJ" localSheetId="12">'Krycí list (2)'!$G$10</definedName>
    <definedName name="MJ">'Krycí list'!$G$10</definedName>
    <definedName name="Mont" localSheetId="13">'Rozpočet-sumář (2)'!$H$21</definedName>
    <definedName name="Mont" localSheetId="5">'[1]Rozpočet-sumář'!$H$21</definedName>
    <definedName name="Mont">'Rozpočet-sumář'!$H$21</definedName>
    <definedName name="Montaz0" localSheetId="12">Položky!#REF!</definedName>
    <definedName name="Montaz0" localSheetId="14">Položky!#REF!</definedName>
    <definedName name="Montaz0" localSheetId="13">Položky!#REF!</definedName>
    <definedName name="Montaz0" localSheetId="5">[1]Položky!#REF!</definedName>
    <definedName name="Montaz0">Položky!#REF!</definedName>
    <definedName name="NazevDilu" localSheetId="13">'Rozpočet-sumář (2)'!$B$5</definedName>
    <definedName name="NazevDilu">'Rozpočet-sumář'!$B$5</definedName>
    <definedName name="nazevobjektu" localSheetId="12">'Krycí list (2)'!$C$10</definedName>
    <definedName name="nazevobjektu" localSheetId="5">'[1]Krycí list'!$C$11</definedName>
    <definedName name="nazevobjektu">'Krycí list'!$C$10</definedName>
    <definedName name="nazevstavby" localSheetId="12">'Krycí list (2)'!$C$12</definedName>
    <definedName name="nazevstavby" localSheetId="5">'[1]Krycí list'!$C$13</definedName>
    <definedName name="nazevstavby">'Krycí list'!$C$12</definedName>
    <definedName name="_xlnm.Print_Titles" localSheetId="6">Položky!$1:$6</definedName>
    <definedName name="_xlnm.Print_Titles" localSheetId="3">'Rozpočet-sumář'!$1:$5</definedName>
    <definedName name="_xlnm.Print_Titles" localSheetId="13">'Rozpočet-sumář (2)'!$1:$5</definedName>
    <definedName name="Objednatel" localSheetId="12">'Krycí list (2)'!#REF!</definedName>
    <definedName name="Objednatel" localSheetId="14">'Krycí list'!#REF!</definedName>
    <definedName name="Objednatel" localSheetId="13">'Krycí list'!#REF!</definedName>
    <definedName name="Objednatel">'Krycí list'!#REF!</definedName>
    <definedName name="_xlnm.Print_Area" localSheetId="6">Položky!$A$1:$H$166</definedName>
    <definedName name="PocetMJ" localSheetId="12">'Krycí list (2)'!$G$13</definedName>
    <definedName name="PocetMJ">'Krycí list'!$G$13</definedName>
    <definedName name="Poznamka" localSheetId="12">'Krycí list (2)'!$B$48</definedName>
    <definedName name="Poznamka">'Krycí list'!$B$48</definedName>
    <definedName name="Projektant" localSheetId="12">'Krycí list (2)'!$C$13</definedName>
    <definedName name="Projektant">'Krycí list'!$C$13</definedName>
    <definedName name="PSV" localSheetId="13">'Rozpočet-sumář (2)'!$F$21</definedName>
    <definedName name="PSV" localSheetId="5">'[1]Rozpočet-sumář'!$F$21</definedName>
    <definedName name="PSV">'Rozpočet-sumář'!$F$21</definedName>
    <definedName name="PSV0" localSheetId="12">Položky!#REF!</definedName>
    <definedName name="PSV0" localSheetId="14">Položky!#REF!</definedName>
    <definedName name="PSV0" localSheetId="13">Položky!#REF!</definedName>
    <definedName name="PSV0" localSheetId="5">[1]Položky!#REF!</definedName>
    <definedName name="PSV0">Položky!#REF!</definedName>
    <definedName name="SazbaDPH1" localSheetId="12">'Krycí list (2)'!$C$33</definedName>
    <definedName name="SazbaDPH1">'Krycí list'!$C$33</definedName>
    <definedName name="SazbaDPH2" localSheetId="12">'Krycí list (2)'!$C$35</definedName>
    <definedName name="SazbaDPH2">'Krycí list'!$C$35</definedName>
    <definedName name="SloupecCC">Položky!$H$6</definedName>
    <definedName name="SloupecCisloPol">Položky!$B$6</definedName>
    <definedName name="SloupecJC">Položky!$G$6</definedName>
    <definedName name="SloupecMJ">Položky!$E$6</definedName>
    <definedName name="SloupecMnozstvi">Položky!$F$6</definedName>
    <definedName name="SloupecNazPol">Položky!$D$6</definedName>
    <definedName name="SloupecPC">Položky!$A$6</definedName>
    <definedName name="solver_lin" localSheetId="6" hidden="1">0</definedName>
    <definedName name="solver_num" localSheetId="6" hidden="1">0</definedName>
    <definedName name="solver_opt" localSheetId="6" hidden="1">Položky!#REF!</definedName>
    <definedName name="solver_typ" localSheetId="6" hidden="1">1</definedName>
    <definedName name="solver_val" localSheetId="6" hidden="1">0</definedName>
    <definedName name="Typ" localSheetId="12">Položky!#REF!</definedName>
    <definedName name="Typ" localSheetId="14">Položky!#REF!</definedName>
    <definedName name="Typ" localSheetId="13">Položky!#REF!</definedName>
    <definedName name="Typ" localSheetId="5">[1]Položky!#REF!</definedName>
    <definedName name="Typ">Položky!#REF!</definedName>
    <definedName name="VRN" localSheetId="13">'Rozpočet-sumář (2)'!$H$35</definedName>
    <definedName name="VRN" localSheetId="5">'[1]Rozpočet-sumář'!$H$35</definedName>
    <definedName name="VRN">'Rozpočet-sumář'!$H$35</definedName>
    <definedName name="VRNKc" localSheetId="12">'Rozpočet-sumář'!#REF!</definedName>
    <definedName name="VRNKc" localSheetId="14">'Rozpočet-sumář'!#REF!</definedName>
    <definedName name="VRNKc" localSheetId="13">'Rozpočet-sumář (2)'!#REF!</definedName>
    <definedName name="VRNKc" localSheetId="5">'[1]Rozpočet-sumář'!#REF!</definedName>
    <definedName name="VRNKc">'Rozpočet-sumář'!#REF!</definedName>
    <definedName name="VRNnazev" localSheetId="12">'Rozpočet-sumář'!#REF!</definedName>
    <definedName name="VRNnazev" localSheetId="14">'Rozpočet-sumář'!#REF!</definedName>
    <definedName name="VRNnazev" localSheetId="13">'Rozpočet-sumář (2)'!#REF!</definedName>
    <definedName name="VRNnazev" localSheetId="5">'[1]Rozpočet-sumář'!#REF!</definedName>
    <definedName name="VRNnazev">'Rozpočet-sumář'!#REF!</definedName>
    <definedName name="VRNproc" localSheetId="12">'Rozpočet-sumář'!#REF!</definedName>
    <definedName name="VRNproc" localSheetId="14">'Rozpočet-sumář'!#REF!</definedName>
    <definedName name="VRNproc" localSheetId="13">'Rozpočet-sumář (2)'!#REF!</definedName>
    <definedName name="VRNproc" localSheetId="5">'[1]Rozpočet-sumář'!#REF!</definedName>
    <definedName name="VRNproc">'Rozpočet-sumář'!#REF!</definedName>
    <definedName name="VRNzakl" localSheetId="12">'Rozpočet-sumář'!#REF!</definedName>
    <definedName name="VRNzakl" localSheetId="14">'Rozpočet-sumář'!#REF!</definedName>
    <definedName name="VRNzakl" localSheetId="13">'Rozpočet-sumář (2)'!#REF!</definedName>
    <definedName name="VRNzakl" localSheetId="5">'[1]Rozpočet-sumář'!#REF!</definedName>
    <definedName name="VRNzakl">'Rozpočet-sumář'!#REF!</definedName>
    <definedName name="Zakazka" localSheetId="12">'Krycí list (2)'!#REF!</definedName>
    <definedName name="Zakazka" localSheetId="14">'Krycí list'!#REF!</definedName>
    <definedName name="Zakazka" localSheetId="13">'Krycí list'!#REF!</definedName>
    <definedName name="Zakazka">'Krycí list'!#REF!</definedName>
    <definedName name="Zaklad22" localSheetId="12">'Krycí list (2)'!$F$35</definedName>
    <definedName name="Zaklad22">'Krycí list'!$F$35</definedName>
    <definedName name="Zaklad5" localSheetId="12">'Krycí list (2)'!$F$33</definedName>
    <definedName name="Zaklad5" localSheetId="5">'[1]Krycí list'!$F$36</definedName>
    <definedName name="Zaklad5">'Krycí list'!$F$33</definedName>
    <definedName name="Zhotovitel" localSheetId="12">'Krycí list (2)'!$E$15</definedName>
    <definedName name="Zhotovitel">'Krycí list'!$E$15</definedName>
  </definedNames>
  <calcPr calcId="124519"/>
</workbook>
</file>

<file path=xl/calcChain.xml><?xml version="1.0" encoding="utf-8"?>
<calcChain xmlns="http://schemas.openxmlformats.org/spreadsheetml/2006/main">
  <c r="E7" i="7"/>
  <c r="D7"/>
  <c r="C7"/>
  <c r="D150" i="30"/>
  <c r="A147"/>
  <c r="A148" s="1"/>
  <c r="A149" s="1"/>
  <c r="D143"/>
  <c r="D133"/>
  <c r="D128"/>
  <c r="D112"/>
  <c r="D98"/>
  <c r="A94"/>
  <c r="A95" s="1"/>
  <c r="A96" s="1"/>
  <c r="A97" s="1"/>
  <c r="A101" s="1"/>
  <c r="A103" s="1"/>
  <c r="A104" s="1"/>
  <c r="A105" s="1"/>
  <c r="A106" s="1"/>
  <c r="A107" s="1"/>
  <c r="A108" s="1"/>
  <c r="A109" s="1"/>
  <c r="A110" s="1"/>
  <c r="A111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31" s="1"/>
  <c r="A132" s="1"/>
  <c r="A136" s="1"/>
  <c r="A137" s="1"/>
  <c r="A138" s="1"/>
  <c r="A139" s="1"/>
  <c r="A140" s="1"/>
  <c r="A141" s="1"/>
  <c r="D89"/>
  <c r="A87"/>
  <c r="D79"/>
  <c r="D75"/>
  <c r="D70"/>
  <c r="D60"/>
  <c r="D49"/>
  <c r="D32"/>
  <c r="D17"/>
  <c r="A14"/>
  <c r="A15" s="1"/>
  <c r="A16" s="1"/>
  <c r="A20" s="1"/>
  <c r="A21" s="1"/>
  <c r="A22" s="1"/>
  <c r="A23" s="1"/>
  <c r="A24" s="1"/>
  <c r="A25" s="1"/>
  <c r="A29" s="1"/>
  <c r="A30" s="1"/>
  <c r="A31" s="1"/>
  <c r="A35" s="1"/>
  <c r="A37" s="1"/>
  <c r="A38" s="1"/>
  <c r="A39" s="1"/>
  <c r="A43" s="1"/>
  <c r="A44" s="1"/>
  <c r="A45" s="1"/>
  <c r="A46" s="1"/>
  <c r="A47" s="1"/>
  <c r="A48" s="1"/>
  <c r="A52" s="1"/>
  <c r="A53" s="1"/>
  <c r="A54" s="1"/>
  <c r="A55" s="1"/>
  <c r="A56" s="1"/>
  <c r="A57" s="1"/>
  <c r="A58" s="1"/>
  <c r="A59" s="1"/>
  <c r="A63" s="1"/>
  <c r="A64" s="1"/>
  <c r="A65" s="1"/>
  <c r="A66" s="1"/>
  <c r="A67" s="1"/>
  <c r="A68" s="1"/>
  <c r="A69" s="1"/>
  <c r="A73" s="1"/>
  <c r="A74" s="1"/>
  <c r="A78" s="1"/>
  <c r="A85" s="1"/>
  <c r="D10"/>
  <c r="F6" i="29"/>
  <c r="F4" i="30"/>
  <c r="G3"/>
  <c r="D3"/>
  <c r="I21" i="29"/>
  <c r="H21"/>
  <c r="G21"/>
  <c r="H1"/>
  <c r="D24" i="28"/>
  <c r="D23"/>
  <c r="D22"/>
  <c r="D21"/>
  <c r="D20"/>
  <c r="D19"/>
  <c r="D18"/>
  <c r="E11"/>
  <c r="D11"/>
  <c r="H88" i="24"/>
  <c r="D11" i="1"/>
  <c r="C1" i="2" s="1"/>
  <c r="P8" i="5"/>
  <c r="R8" s="1"/>
  <c r="P6"/>
  <c r="R6" s="1"/>
  <c r="R12"/>
  <c r="D3" i="24"/>
  <c r="F109"/>
  <c r="F131"/>
  <c r="H131" s="1"/>
  <c r="N33" i="4"/>
  <c r="N39" s="1"/>
  <c r="N41" s="1"/>
  <c r="F110" i="24"/>
  <c r="H110" s="1"/>
  <c r="N119" i="4"/>
  <c r="C14" i="5"/>
  <c r="C22" s="1"/>
  <c r="I22" s="1"/>
  <c r="D150" i="24"/>
  <c r="H149"/>
  <c r="H148"/>
  <c r="H147"/>
  <c r="H146"/>
  <c r="A147"/>
  <c r="A148"/>
  <c r="A149" s="1"/>
  <c r="F132"/>
  <c r="H132" s="1"/>
  <c r="H30"/>
  <c r="P51" i="5"/>
  <c r="S51" s="1"/>
  <c r="P50"/>
  <c r="P52" s="1"/>
  <c r="S52" s="1"/>
  <c r="P49"/>
  <c r="S49" s="1"/>
  <c r="P48"/>
  <c r="S48" s="1"/>
  <c r="S55"/>
  <c r="S54"/>
  <c r="S53"/>
  <c r="F31" i="7"/>
  <c r="F32"/>
  <c r="F33"/>
  <c r="F34"/>
  <c r="F30"/>
  <c r="F22"/>
  <c r="F23"/>
  <c r="F24"/>
  <c r="F25"/>
  <c r="F21"/>
  <c r="D34"/>
  <c r="G34"/>
  <c r="D33"/>
  <c r="G33"/>
  <c r="D32"/>
  <c r="G32"/>
  <c r="D31"/>
  <c r="G31"/>
  <c r="D30"/>
  <c r="G30"/>
  <c r="D25"/>
  <c r="G25"/>
  <c r="D24"/>
  <c r="G24"/>
  <c r="D23"/>
  <c r="G23"/>
  <c r="D22"/>
  <c r="G22"/>
  <c r="D21"/>
  <c r="G21"/>
  <c r="J24" i="18"/>
  <c r="S24" s="1"/>
  <c r="E28"/>
  <c r="G28"/>
  <c r="L28"/>
  <c r="L32" s="1"/>
  <c r="M32" s="1"/>
  <c r="O32" s="1"/>
  <c r="M28"/>
  <c r="L33"/>
  <c r="M33" s="1"/>
  <c r="O33" s="1"/>
  <c r="O28"/>
  <c r="P28"/>
  <c r="L36" s="1"/>
  <c r="Q28"/>
  <c r="L37" s="1"/>
  <c r="L35"/>
  <c r="M35" s="1"/>
  <c r="O35" s="1"/>
  <c r="J42"/>
  <c r="C8" i="5"/>
  <c r="I8" s="1"/>
  <c r="P11"/>
  <c r="R11" s="1"/>
  <c r="C15"/>
  <c r="C23" s="1"/>
  <c r="I23" s="1"/>
  <c r="C16"/>
  <c r="C17"/>
  <c r="C21" s="1"/>
  <c r="I21" s="1"/>
  <c r="N25"/>
  <c r="S35"/>
  <c r="S36"/>
  <c r="C52"/>
  <c r="I52"/>
  <c r="C53"/>
  <c r="I53" s="1"/>
  <c r="E65"/>
  <c r="I65" s="1"/>
  <c r="C69"/>
  <c r="J69" s="1"/>
  <c r="J9" i="4"/>
  <c r="J20"/>
  <c r="K20" s="1"/>
  <c r="J23"/>
  <c r="N24"/>
  <c r="R24"/>
  <c r="R26" s="1"/>
  <c r="N26" s="1"/>
  <c r="C8" s="1"/>
  <c r="D8" s="1"/>
  <c r="N25"/>
  <c r="R25"/>
  <c r="R33"/>
  <c r="F34"/>
  <c r="F35"/>
  <c r="F36"/>
  <c r="R36"/>
  <c r="N36" s="1"/>
  <c r="E37"/>
  <c r="R39"/>
  <c r="R41" s="1"/>
  <c r="R42" s="1"/>
  <c r="J43"/>
  <c r="K43" s="1"/>
  <c r="E44"/>
  <c r="J44"/>
  <c r="D79" s="1"/>
  <c r="E46"/>
  <c r="K47"/>
  <c r="C34" i="5"/>
  <c r="J51" i="4"/>
  <c r="K51"/>
  <c r="N51"/>
  <c r="J52"/>
  <c r="K52" s="1"/>
  <c r="N52"/>
  <c r="N63" s="1"/>
  <c r="R53"/>
  <c r="R54"/>
  <c r="R108" s="1"/>
  <c r="K59"/>
  <c r="C36" i="5" s="1"/>
  <c r="R59" i="4"/>
  <c r="J64"/>
  <c r="K64" s="1"/>
  <c r="R64"/>
  <c r="J65"/>
  <c r="K65" s="1"/>
  <c r="J66"/>
  <c r="K66" s="1"/>
  <c r="R66"/>
  <c r="R73" s="1"/>
  <c r="N73" s="1"/>
  <c r="J67"/>
  <c r="K67" s="1"/>
  <c r="R71"/>
  <c r="N72"/>
  <c r="J54" s="1"/>
  <c r="J76"/>
  <c r="J77"/>
  <c r="K78"/>
  <c r="Q79"/>
  <c r="Q80"/>
  <c r="N81"/>
  <c r="Q81"/>
  <c r="N83"/>
  <c r="Q83"/>
  <c r="L84"/>
  <c r="N84"/>
  <c r="N85" s="1"/>
  <c r="Q87"/>
  <c r="D97"/>
  <c r="N103"/>
  <c r="R103"/>
  <c r="R106"/>
  <c r="N106" s="1"/>
  <c r="J112"/>
  <c r="E119"/>
  <c r="N120"/>
  <c r="Q120"/>
  <c r="G123"/>
  <c r="G129"/>
  <c r="N133"/>
  <c r="N134"/>
  <c r="J74"/>
  <c r="N148"/>
  <c r="N149"/>
  <c r="P56" i="5" s="1"/>
  <c r="S56" s="1"/>
  <c r="N164" i="4"/>
  <c r="B7" i="7"/>
  <c r="F7"/>
  <c r="G7"/>
  <c r="H7"/>
  <c r="I7"/>
  <c r="J7"/>
  <c r="K7"/>
  <c r="L7"/>
  <c r="M7"/>
  <c r="N7"/>
  <c r="O7"/>
  <c r="P7"/>
  <c r="Q7"/>
  <c r="R7"/>
  <c r="S7"/>
  <c r="G3" i="24"/>
  <c r="F4"/>
  <c r="H9"/>
  <c r="D10"/>
  <c r="H10"/>
  <c r="G21" i="25"/>
  <c r="A14" i="24"/>
  <c r="A15"/>
  <c r="A16" s="1"/>
  <c r="A20" s="1"/>
  <c r="A21" s="1"/>
  <c r="A22" s="1"/>
  <c r="A23" s="1"/>
  <c r="A24" s="1"/>
  <c r="A25" s="1"/>
  <c r="A29" s="1"/>
  <c r="A30" s="1"/>
  <c r="A31" s="1"/>
  <c r="A35" s="1"/>
  <c r="A37" s="1"/>
  <c r="A38" s="1"/>
  <c r="A39" s="1"/>
  <c r="A43" s="1"/>
  <c r="A44" s="1"/>
  <c r="A45" s="1"/>
  <c r="A46" s="1"/>
  <c r="A47" s="1"/>
  <c r="A48" s="1"/>
  <c r="A52" s="1"/>
  <c r="A53" s="1"/>
  <c r="A54" s="1"/>
  <c r="A55" s="1"/>
  <c r="A56" s="1"/>
  <c r="A57" s="1"/>
  <c r="A58" s="1"/>
  <c r="A59" s="1"/>
  <c r="A63" s="1"/>
  <c r="A64" s="1"/>
  <c r="A65" s="1"/>
  <c r="A66" s="1"/>
  <c r="A67" s="1"/>
  <c r="A68" s="1"/>
  <c r="A69" s="1"/>
  <c r="A73" s="1"/>
  <c r="A74" s="1"/>
  <c r="A78" s="1"/>
  <c r="A85" s="1"/>
  <c r="A87"/>
  <c r="A94"/>
  <c r="A95"/>
  <c r="A96" s="1"/>
  <c r="A97" s="1"/>
  <c r="A101" s="1"/>
  <c r="A103" s="1"/>
  <c r="A104" s="1"/>
  <c r="A105" s="1"/>
  <c r="A106" s="1"/>
  <c r="A107" s="1"/>
  <c r="A108" s="1"/>
  <c r="A109" s="1"/>
  <c r="A110" s="1"/>
  <c r="A111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31" s="1"/>
  <c r="A132" s="1"/>
  <c r="A136" s="1"/>
  <c r="A137" s="1"/>
  <c r="A138" s="1"/>
  <c r="A139" s="1"/>
  <c r="A140" s="1"/>
  <c r="A141" s="1"/>
  <c r="D17"/>
  <c r="D32"/>
  <c r="F37"/>
  <c r="H37" s="1"/>
  <c r="F38"/>
  <c r="C9" i="5" s="1"/>
  <c r="I9" s="1"/>
  <c r="F39" i="24"/>
  <c r="H39" s="1"/>
  <c r="D49"/>
  <c r="F56"/>
  <c r="H56" s="1"/>
  <c r="D60"/>
  <c r="D70"/>
  <c r="D75"/>
  <c r="D79"/>
  <c r="H87"/>
  <c r="D89"/>
  <c r="D98"/>
  <c r="H101"/>
  <c r="H103"/>
  <c r="H104"/>
  <c r="H105"/>
  <c r="H106"/>
  <c r="H107"/>
  <c r="H108"/>
  <c r="F111"/>
  <c r="H111" s="1"/>
  <c r="D112"/>
  <c r="F116"/>
  <c r="H116" s="1"/>
  <c r="F119"/>
  <c r="H119" s="1"/>
  <c r="F121"/>
  <c r="H121"/>
  <c r="F123"/>
  <c r="H123"/>
  <c r="F124"/>
  <c r="H124"/>
  <c r="H125"/>
  <c r="D128"/>
  <c r="D133"/>
  <c r="F136"/>
  <c r="H136" s="1"/>
  <c r="H137"/>
  <c r="F138"/>
  <c r="H138" s="1"/>
  <c r="F139"/>
  <c r="H139" s="1"/>
  <c r="F140"/>
  <c r="H140" s="1"/>
  <c r="D143"/>
  <c r="G3" i="3"/>
  <c r="F4"/>
  <c r="H10"/>
  <c r="D11"/>
  <c r="H11"/>
  <c r="A16"/>
  <c r="A17" s="1"/>
  <c r="A18" s="1"/>
  <c r="A19" s="1"/>
  <c r="A20" s="1"/>
  <c r="A21" s="1"/>
  <c r="A22" s="1"/>
  <c r="A23" s="1"/>
  <c r="A24" s="1"/>
  <c r="A29" s="1"/>
  <c r="A30" s="1"/>
  <c r="A31" s="1"/>
  <c r="A32" s="1"/>
  <c r="A33" s="1"/>
  <c r="A34" s="1"/>
  <c r="A35" s="1"/>
  <c r="A36" s="1"/>
  <c r="A38" s="1"/>
  <c r="A39" s="1"/>
  <c r="A40" s="1"/>
  <c r="A41" s="1"/>
  <c r="A42" s="1"/>
  <c r="A43" s="1"/>
  <c r="A44" s="1"/>
  <c r="A45" s="1"/>
  <c r="A46" s="1"/>
  <c r="A51" s="1"/>
  <c r="A52" s="1"/>
  <c r="A53" s="1"/>
  <c r="A54" s="1"/>
  <c r="A55" s="1"/>
  <c r="A56" s="1"/>
  <c r="A59" s="1"/>
  <c r="A64" s="1"/>
  <c r="A65" s="1"/>
  <c r="A66" s="1"/>
  <c r="A67" s="1"/>
  <c r="A68" s="1"/>
  <c r="A69" s="1"/>
  <c r="A70" s="1"/>
  <c r="A71" s="1"/>
  <c r="H22"/>
  <c r="D25"/>
  <c r="F37"/>
  <c r="H37"/>
  <c r="F38"/>
  <c r="H38"/>
  <c r="F40"/>
  <c r="H40"/>
  <c r="BD44"/>
  <c r="BE44"/>
  <c r="BF44"/>
  <c r="BD45"/>
  <c r="BE45"/>
  <c r="BF45"/>
  <c r="BD46"/>
  <c r="BE46"/>
  <c r="BF46"/>
  <c r="D47"/>
  <c r="BD48"/>
  <c r="BE48"/>
  <c r="BF48"/>
  <c r="BD53"/>
  <c r="BE53"/>
  <c r="BF53"/>
  <c r="BD54"/>
  <c r="BE54"/>
  <c r="BF54"/>
  <c r="BD55"/>
  <c r="BE55"/>
  <c r="BF55"/>
  <c r="BD56"/>
  <c r="BE56"/>
  <c r="BF56"/>
  <c r="BD57"/>
  <c r="BE57"/>
  <c r="BF57"/>
  <c r="D60"/>
  <c r="BD67"/>
  <c r="BE67"/>
  <c r="BF67"/>
  <c r="F68"/>
  <c r="H68"/>
  <c r="BD72"/>
  <c r="BE72"/>
  <c r="BF72"/>
  <c r="D73"/>
  <c r="BD73"/>
  <c r="BE73"/>
  <c r="BF73"/>
  <c r="BD74"/>
  <c r="BE74"/>
  <c r="BF74"/>
  <c r="F77"/>
  <c r="H77" s="1"/>
  <c r="A78"/>
  <c r="H78"/>
  <c r="A79"/>
  <c r="BD79"/>
  <c r="BE79"/>
  <c r="BF79"/>
  <c r="A80"/>
  <c r="A81"/>
  <c r="A82" s="1"/>
  <c r="A83" s="1"/>
  <c r="A84" s="1"/>
  <c r="A85" s="1"/>
  <c r="A86" s="1"/>
  <c r="F80"/>
  <c r="H80" s="1"/>
  <c r="F82"/>
  <c r="H82" s="1"/>
  <c r="F83"/>
  <c r="H83" s="1"/>
  <c r="BD86"/>
  <c r="BE86"/>
  <c r="BF86"/>
  <c r="BD87"/>
  <c r="BE87"/>
  <c r="BF87"/>
  <c r="F89"/>
  <c r="H89" s="1"/>
  <c r="D92"/>
  <c r="A97"/>
  <c r="D98"/>
  <c r="A102"/>
  <c r="D103"/>
  <c r="A110"/>
  <c r="H110"/>
  <c r="H113" s="1"/>
  <c r="C18" i="18" s="1"/>
  <c r="J18" s="1"/>
  <c r="A111" i="3"/>
  <c r="H111"/>
  <c r="H112"/>
  <c r="D113"/>
  <c r="H116"/>
  <c r="A117"/>
  <c r="H117"/>
  <c r="A118"/>
  <c r="A119" s="1"/>
  <c r="A123" s="1"/>
  <c r="H118"/>
  <c r="BD118"/>
  <c r="BE118"/>
  <c r="BF118"/>
  <c r="BF122" s="1"/>
  <c r="H119"/>
  <c r="H120" s="1"/>
  <c r="C19" i="18" s="1"/>
  <c r="J19" s="1"/>
  <c r="S19" s="1"/>
  <c r="BD119" i="3"/>
  <c r="BE119"/>
  <c r="BF119"/>
  <c r="D120"/>
  <c r="BD121"/>
  <c r="BE121"/>
  <c r="BE122"/>
  <c r="BF121"/>
  <c r="BD122"/>
  <c r="H123"/>
  <c r="H124"/>
  <c r="H125"/>
  <c r="H126"/>
  <c r="H127"/>
  <c r="H128"/>
  <c r="H129"/>
  <c r="H130"/>
  <c r="H131"/>
  <c r="F132"/>
  <c r="H132" s="1"/>
  <c r="H133" s="1"/>
  <c r="C20" i="18" s="1"/>
  <c r="J20" s="1"/>
  <c r="D133" i="3"/>
  <c r="BD135"/>
  <c r="BE135"/>
  <c r="BF135"/>
  <c r="A137"/>
  <c r="A138"/>
  <c r="A139" s="1"/>
  <c r="A140" s="1"/>
  <c r="A141" s="1"/>
  <c r="A142" s="1"/>
  <c r="A143" s="1"/>
  <c r="A144" s="1"/>
  <c r="A148" s="1"/>
  <c r="A149" s="1"/>
  <c r="A153" s="1"/>
  <c r="F138"/>
  <c r="H138" s="1"/>
  <c r="BD138"/>
  <c r="BE138"/>
  <c r="BE147" s="1"/>
  <c r="BF138"/>
  <c r="BD142"/>
  <c r="BE142"/>
  <c r="BF142"/>
  <c r="BF147" s="1"/>
  <c r="F143"/>
  <c r="F142" s="1"/>
  <c r="H142" s="1"/>
  <c r="BD143"/>
  <c r="BE143"/>
  <c r="BF143"/>
  <c r="BD144"/>
  <c r="BE144"/>
  <c r="BF144"/>
  <c r="D145"/>
  <c r="BD146"/>
  <c r="BE146"/>
  <c r="BF146"/>
  <c r="H148"/>
  <c r="H150" s="1"/>
  <c r="C22" i="18" s="1"/>
  <c r="J22" s="1"/>
  <c r="S22" s="1"/>
  <c r="H149" i="3"/>
  <c r="D150"/>
  <c r="BD150"/>
  <c r="BE150"/>
  <c r="BF150"/>
  <c r="BD151"/>
  <c r="BE151"/>
  <c r="BE152" s="1"/>
  <c r="BF151"/>
  <c r="BD152"/>
  <c r="BF152"/>
  <c r="F153"/>
  <c r="F79" s="1"/>
  <c r="H79" s="1"/>
  <c r="H154"/>
  <c r="F155"/>
  <c r="H155"/>
  <c r="F156"/>
  <c r="H156"/>
  <c r="BD156"/>
  <c r="BE156"/>
  <c r="BF156"/>
  <c r="F157"/>
  <c r="H157" s="1"/>
  <c r="BD157"/>
  <c r="BE157"/>
  <c r="BF157"/>
  <c r="BD158"/>
  <c r="BE158"/>
  <c r="BF158"/>
  <c r="BD159"/>
  <c r="BE159"/>
  <c r="BF159"/>
  <c r="D166"/>
  <c r="H1" i="2"/>
  <c r="F6"/>
  <c r="G21"/>
  <c r="C18" i="28" s="1"/>
  <c r="H21" i="2"/>
  <c r="C19" i="28" s="1"/>
  <c r="I21" i="2"/>
  <c r="C24" i="28" s="1"/>
  <c r="E11" i="1"/>
  <c r="C18"/>
  <c r="D18"/>
  <c r="D19"/>
  <c r="D20"/>
  <c r="D21"/>
  <c r="D22"/>
  <c r="D23"/>
  <c r="C24"/>
  <c r="D24"/>
  <c r="C2" i="8"/>
  <c r="M13" i="4" s="1"/>
  <c r="C3" s="1"/>
  <c r="E2" i="8"/>
  <c r="D29" i="1" s="1"/>
  <c r="N71" i="4"/>
  <c r="J53"/>
  <c r="D100" s="1"/>
  <c r="F35" i="7"/>
  <c r="G97" i="24"/>
  <c r="H97" s="1"/>
  <c r="F68"/>
  <c r="H68" s="1"/>
  <c r="F85" i="3"/>
  <c r="H85" s="1"/>
  <c r="D125" i="4"/>
  <c r="K44"/>
  <c r="S50" i="5"/>
  <c r="H143" i="3"/>
  <c r="F127" i="24"/>
  <c r="F81" i="3"/>
  <c r="H81" s="1"/>
  <c r="F126" i="24"/>
  <c r="H126" s="1"/>
  <c r="F118"/>
  <c r="H118" s="1"/>
  <c r="H153" i="3"/>
  <c r="C25" i="5"/>
  <c r="I25" s="1"/>
  <c r="BF76" i="3"/>
  <c r="J11" i="4"/>
  <c r="K11" s="1"/>
  <c r="C11" s="1"/>
  <c r="F18" i="3" s="1"/>
  <c r="H18" s="1"/>
  <c r="BF62"/>
  <c r="BD95"/>
  <c r="H33" i="1"/>
  <c r="C51" i="5"/>
  <c r="I51" s="1"/>
  <c r="C50"/>
  <c r="E50" s="1"/>
  <c r="N59" i="4"/>
  <c r="BE95" i="3"/>
  <c r="D121" i="4"/>
  <c r="H109" i="24"/>
  <c r="BE62" i="3"/>
  <c r="BF49"/>
  <c r="I34" i="5"/>
  <c r="D3" i="3"/>
  <c r="N62" i="4"/>
  <c r="D78"/>
  <c r="F52" i="24" s="1"/>
  <c r="P7" i="5"/>
  <c r="R7" s="1"/>
  <c r="R5"/>
  <c r="BD49" i="3"/>
  <c r="H38" i="24"/>
  <c r="F25"/>
  <c r="H25" s="1"/>
  <c r="C10" i="5"/>
  <c r="I10" s="1"/>
  <c r="P10"/>
  <c r="R10" s="1"/>
  <c r="F33" i="3"/>
  <c r="H33" s="1"/>
  <c r="F24" i="24"/>
  <c r="H24" s="1"/>
  <c r="H150"/>
  <c r="F20" i="29" s="1"/>
  <c r="F20" i="2"/>
  <c r="F56" i="3"/>
  <c r="H56" s="1"/>
  <c r="N53" i="4"/>
  <c r="J46"/>
  <c r="K46"/>
  <c r="G35" i="7"/>
  <c r="G96" i="24"/>
  <c r="H96" s="1"/>
  <c r="F26" i="7"/>
  <c r="D126" i="4"/>
  <c r="F84" i="3"/>
  <c r="H84"/>
  <c r="K74" i="4"/>
  <c r="D43"/>
  <c r="D13" s="1"/>
  <c r="N87"/>
  <c r="B7" i="26"/>
  <c r="D7" s="1"/>
  <c r="F23" i="24"/>
  <c r="H23" s="1"/>
  <c r="J18" i="4"/>
  <c r="N155"/>
  <c r="F63" i="24"/>
  <c r="H63" s="1"/>
  <c r="J31" i="4"/>
  <c r="D62" s="1"/>
  <c r="D67" s="1"/>
  <c r="F51" i="3"/>
  <c r="H51" s="1"/>
  <c r="F122" i="24"/>
  <c r="H122" s="1"/>
  <c r="F141" i="3"/>
  <c r="H141" s="1"/>
  <c r="F29" i="24"/>
  <c r="H29" s="1"/>
  <c r="P47" i="5"/>
  <c r="S47" s="1"/>
  <c r="C13"/>
  <c r="C20" s="1"/>
  <c r="I20" s="1"/>
  <c r="K53" i="4"/>
  <c r="F34" i="3"/>
  <c r="H34" s="1"/>
  <c r="J13" i="4"/>
  <c r="D16" s="1"/>
  <c r="E118"/>
  <c r="F85" i="24"/>
  <c r="H85" s="1"/>
  <c r="H89" s="1"/>
  <c r="J73" i="4"/>
  <c r="D122" s="1"/>
  <c r="Q164"/>
  <c r="D81"/>
  <c r="F67" i="3" s="1"/>
  <c r="H67" s="1"/>
  <c r="J68" i="4"/>
  <c r="K68" s="1"/>
  <c r="N66"/>
  <c r="F54" i="3" s="1"/>
  <c r="H54" s="1"/>
  <c r="K73" i="4"/>
  <c r="F117" i="24" s="1"/>
  <c r="H117" s="1"/>
  <c r="F59" i="3"/>
  <c r="H59" s="1"/>
  <c r="F137"/>
  <c r="H137" s="1"/>
  <c r="N139" i="4"/>
  <c r="G26" i="7"/>
  <c r="G94" i="24" s="1"/>
  <c r="H94" s="1"/>
  <c r="G95"/>
  <c r="H95" s="1"/>
  <c r="J57" i="4"/>
  <c r="J32"/>
  <c r="J34" s="1"/>
  <c r="K34" s="1"/>
  <c r="P22" i="5"/>
  <c r="S22" s="1"/>
  <c r="D29" i="28" l="1"/>
  <c r="F59" i="24"/>
  <c r="H59" s="1"/>
  <c r="J109" i="4"/>
  <c r="D140"/>
  <c r="F71" i="3"/>
  <c r="H71" s="1"/>
  <c r="F58"/>
  <c r="H58" s="1"/>
  <c r="F46" i="24"/>
  <c r="H46" s="1"/>
  <c r="P21" i="5"/>
  <c r="S21" s="1"/>
  <c r="F136" i="3"/>
  <c r="H136" s="1"/>
  <c r="F115" i="24"/>
  <c r="H115" s="1"/>
  <c r="F69" i="3"/>
  <c r="H69" s="1"/>
  <c r="F57" i="24"/>
  <c r="H57" s="1"/>
  <c r="C45" i="5"/>
  <c r="I45" s="1"/>
  <c r="D98" i="4"/>
  <c r="D71"/>
  <c r="C43" i="5"/>
  <c r="I43" s="1"/>
  <c r="F48" i="24"/>
  <c r="H48" s="1"/>
  <c r="F120"/>
  <c r="H120" s="1"/>
  <c r="F140" i="3"/>
  <c r="H140" s="1"/>
  <c r="F35" i="24"/>
  <c r="H35" s="1"/>
  <c r="H40" s="1"/>
  <c r="F39" i="3"/>
  <c r="H39" s="1"/>
  <c r="C7" i="5"/>
  <c r="I7" s="1"/>
  <c r="J10" s="1"/>
  <c r="I36"/>
  <c r="C39"/>
  <c r="C31"/>
  <c r="C32" s="1"/>
  <c r="I32" s="1"/>
  <c r="J32" s="1"/>
  <c r="F161" i="3"/>
  <c r="H161" s="1"/>
  <c r="K80" i="4"/>
  <c r="F32" i="3"/>
  <c r="H32" s="1"/>
  <c r="F69" i="24"/>
  <c r="I47" i="3"/>
  <c r="M37" i="18"/>
  <c r="O37" s="1"/>
  <c r="M36"/>
  <c r="O36" s="1"/>
  <c r="H98" i="24"/>
  <c r="G27" i="25" s="1"/>
  <c r="E17" i="7"/>
  <c r="K32" i="4"/>
  <c r="D65"/>
  <c r="D68" s="1"/>
  <c r="F35" i="3"/>
  <c r="H35" s="1"/>
  <c r="J60" i="4"/>
  <c r="D133" s="1"/>
  <c r="H112" i="24"/>
  <c r="F16" i="2" s="1"/>
  <c r="C19" i="1"/>
  <c r="BD169" i="3"/>
  <c r="BD147"/>
  <c r="BE169"/>
  <c r="BF95"/>
  <c r="H127" i="24"/>
  <c r="H128" s="1"/>
  <c r="BE76" i="3"/>
  <c r="BD76"/>
  <c r="BD62"/>
  <c r="BE49"/>
  <c r="F15" i="2"/>
  <c r="N20" i="18"/>
  <c r="S20" s="1"/>
  <c r="H143" i="24"/>
  <c r="J53" i="5"/>
  <c r="J81" i="3"/>
  <c r="B29" i="1"/>
  <c r="B29" i="28"/>
  <c r="C24" i="5"/>
  <c r="G24" s="1"/>
  <c r="I24" s="1"/>
  <c r="F144" i="3"/>
  <c r="H144" s="1"/>
  <c r="BF169"/>
  <c r="H133" i="24"/>
  <c r="F18" i="29" s="1"/>
  <c r="R13" i="5"/>
  <c r="F16" i="29"/>
  <c r="G30" i="25"/>
  <c r="F18" i="2"/>
  <c r="F14" i="29"/>
  <c r="F14" i="2"/>
  <c r="F65" i="3"/>
  <c r="H65" s="1"/>
  <c r="F53" i="24"/>
  <c r="H53" s="1"/>
  <c r="C44" i="5"/>
  <c r="I44" s="1"/>
  <c r="B12" i="26"/>
  <c r="D12" s="1"/>
  <c r="H52" i="24"/>
  <c r="F47"/>
  <c r="H47" s="1"/>
  <c r="I50" i="5"/>
  <c r="E51"/>
  <c r="F64" i="3"/>
  <c r="H64" s="1"/>
  <c r="F20"/>
  <c r="H20" s="1"/>
  <c r="D14" i="4"/>
  <c r="F21" i="3" s="1"/>
  <c r="H21" s="1"/>
  <c r="J25" i="5"/>
  <c r="K18" i="4"/>
  <c r="F36" i="3" s="1"/>
  <c r="H36" s="1"/>
  <c r="P46" i="5"/>
  <c r="D102" i="4"/>
  <c r="K54"/>
  <c r="J58"/>
  <c r="S26" i="5"/>
  <c r="D131" i="4"/>
  <c r="F87" i="3" s="1"/>
  <c r="H87" s="1"/>
  <c r="F55" i="24"/>
  <c r="H55" s="1"/>
  <c r="N54" i="4"/>
  <c r="F65" i="24"/>
  <c r="H65" s="1"/>
  <c r="B6" i="26"/>
  <c r="D6" s="1"/>
  <c r="F64" i="24"/>
  <c r="H64" s="1"/>
  <c r="N64" i="4"/>
  <c r="K58"/>
  <c r="C35" i="5" s="1"/>
  <c r="I35" s="1"/>
  <c r="J28" i="4"/>
  <c r="K28" s="1"/>
  <c r="D33" s="1"/>
  <c r="F16" i="24"/>
  <c r="H16" s="1"/>
  <c r="F23" i="3"/>
  <c r="H23" s="1"/>
  <c r="J69" i="4"/>
  <c r="K69" s="1"/>
  <c r="J61"/>
  <c r="F70" i="3"/>
  <c r="H70" s="1"/>
  <c r="F58" i="24"/>
  <c r="D105" i="4"/>
  <c r="K31"/>
  <c r="J33"/>
  <c r="K33" s="1"/>
  <c r="K60"/>
  <c r="F43" i="24"/>
  <c r="H43" s="1"/>
  <c r="P14" i="5"/>
  <c r="R14" s="1"/>
  <c r="N42" i="4"/>
  <c r="C26" i="5"/>
  <c r="F15" i="3"/>
  <c r="N151" i="4"/>
  <c r="F159" i="3" s="1"/>
  <c r="H159" s="1"/>
  <c r="C3" i="5"/>
  <c r="I3" s="1"/>
  <c r="J5" s="1"/>
  <c r="B3" i="26"/>
  <c r="D3" s="1"/>
  <c r="F13" i="24"/>
  <c r="H13" s="1"/>
  <c r="G8" i="4"/>
  <c r="G18"/>
  <c r="N150"/>
  <c r="F158" i="3" s="1"/>
  <c r="H158" s="1"/>
  <c r="C1" i="29"/>
  <c r="G33" i="25" l="1"/>
  <c r="F17" i="29"/>
  <c r="F21" s="1"/>
  <c r="F97" i="3"/>
  <c r="H97" s="1"/>
  <c r="F74" i="24"/>
  <c r="H74" s="1"/>
  <c r="H145" i="3"/>
  <c r="C21" i="18" s="1"/>
  <c r="J21" s="1"/>
  <c r="F15" i="29"/>
  <c r="C42" i="5"/>
  <c r="I42" s="1"/>
  <c r="D66" i="4"/>
  <c r="F55" i="3" s="1"/>
  <c r="H55" s="1"/>
  <c r="B9" i="26"/>
  <c r="D9" s="1"/>
  <c r="H69" i="24"/>
  <c r="F19" i="2"/>
  <c r="F19" i="29"/>
  <c r="F17" i="2"/>
  <c r="F21" s="1"/>
  <c r="S46" i="5"/>
  <c r="P57"/>
  <c r="S57" s="1"/>
  <c r="J108" i="4"/>
  <c r="F44" i="24"/>
  <c r="F45"/>
  <c r="H45" s="1"/>
  <c r="F15"/>
  <c r="H15" s="1"/>
  <c r="E9" i="29"/>
  <c r="J35" i="4"/>
  <c r="F52" i="3"/>
  <c r="H52" s="1"/>
  <c r="F17"/>
  <c r="H17" s="1"/>
  <c r="J45" i="4"/>
  <c r="J10"/>
  <c r="H49" i="24"/>
  <c r="E9" i="2" s="1"/>
  <c r="D130" i="4"/>
  <c r="F86" i="3" s="1"/>
  <c r="H86" s="1"/>
  <c r="D132" i="4"/>
  <c r="C40" i="5"/>
  <c r="I40" s="1"/>
  <c r="H58" i="24"/>
  <c r="D69" i="4"/>
  <c r="F57" i="3" s="1"/>
  <c r="H57" s="1"/>
  <c r="C41" i="5"/>
  <c r="I41" s="1"/>
  <c r="F67" i="24"/>
  <c r="H67" s="1"/>
  <c r="F91" i="3"/>
  <c r="H91" s="1"/>
  <c r="K61" i="4"/>
  <c r="D135"/>
  <c r="J16"/>
  <c r="F31" i="24"/>
  <c r="C67" i="5"/>
  <c r="E67" s="1"/>
  <c r="I67" s="1"/>
  <c r="F41" i="3"/>
  <c r="P34" i="5"/>
  <c r="S34" s="1"/>
  <c r="S40" s="1"/>
  <c r="B5" i="26"/>
  <c r="C66" i="5"/>
  <c r="E66" s="1"/>
  <c r="I66" s="1"/>
  <c r="P4"/>
  <c r="C29"/>
  <c r="I29" s="1"/>
  <c r="C27"/>
  <c r="I27" s="1"/>
  <c r="C28"/>
  <c r="I28" s="1"/>
  <c r="C63"/>
  <c r="F24" i="3"/>
  <c r="H24" s="1"/>
  <c r="H15"/>
  <c r="H166"/>
  <c r="C23" i="18" s="1"/>
  <c r="J23" s="1"/>
  <c r="S23" s="1"/>
  <c r="C21" i="28" l="1"/>
  <c r="C21" i="1"/>
  <c r="S58" i="5"/>
  <c r="J12" i="4"/>
  <c r="D15" s="1"/>
  <c r="K10"/>
  <c r="C10" s="1"/>
  <c r="K35"/>
  <c r="D63"/>
  <c r="K45"/>
  <c r="D139"/>
  <c r="D80"/>
  <c r="C48" i="5"/>
  <c r="F88" i="3"/>
  <c r="H88" s="1"/>
  <c r="C54" i="5"/>
  <c r="F66" i="24"/>
  <c r="H66" s="1"/>
  <c r="H70" s="1"/>
  <c r="E11" i="2" s="1"/>
  <c r="F90" i="3"/>
  <c r="H90" s="1"/>
  <c r="E11" i="29"/>
  <c r="D134" i="4"/>
  <c r="C58" i="5" s="1"/>
  <c r="D31" i="4"/>
  <c r="J29"/>
  <c r="K29" s="1"/>
  <c r="K16"/>
  <c r="C68" i="5"/>
  <c r="I68" s="1"/>
  <c r="E63"/>
  <c r="C64"/>
  <c r="E64" s="1"/>
  <c r="I64" s="1"/>
  <c r="J68" s="1"/>
  <c r="B14" i="26"/>
  <c r="D14" s="1"/>
  <c r="B4"/>
  <c r="D4" s="1"/>
  <c r="D5"/>
  <c r="F45" i="3"/>
  <c r="H45" s="1"/>
  <c r="F44"/>
  <c r="H44" s="1"/>
  <c r="F42"/>
  <c r="H42" s="1"/>
  <c r="F43"/>
  <c r="H43" s="1"/>
  <c r="H41"/>
  <c r="J89" l="1"/>
  <c r="H92"/>
  <c r="C15" i="18" s="1"/>
  <c r="J15" s="1"/>
  <c r="S15" s="1"/>
  <c r="C49" i="5"/>
  <c r="E48"/>
  <c r="I48"/>
  <c r="F73" i="24"/>
  <c r="H73" s="1"/>
  <c r="H75" s="1"/>
  <c r="F96" i="3"/>
  <c r="H96" s="1"/>
  <c r="H98" s="1"/>
  <c r="C16" i="18" s="1"/>
  <c r="J16" s="1"/>
  <c r="S16" s="1"/>
  <c r="F53" i="3"/>
  <c r="H53" s="1"/>
  <c r="H60" s="1"/>
  <c r="C12" i="18" s="1"/>
  <c r="J12" s="1"/>
  <c r="D64" i="4"/>
  <c r="C33" i="5"/>
  <c r="F54" i="24"/>
  <c r="F66" i="3"/>
  <c r="H66" s="1"/>
  <c r="H73" s="1"/>
  <c r="C14" i="18" s="1"/>
  <c r="J14" s="1"/>
  <c r="E58" i="5"/>
  <c r="I58" s="1"/>
  <c r="C59"/>
  <c r="E59" s="1"/>
  <c r="I59" s="1"/>
  <c r="C60"/>
  <c r="I60" s="1"/>
  <c r="J60" s="1"/>
  <c r="E54"/>
  <c r="I54" s="1"/>
  <c r="C55"/>
  <c r="N12" i="18"/>
  <c r="S12" s="1"/>
  <c r="D32" i="4"/>
  <c r="C30" i="5"/>
  <c r="I30" s="1"/>
  <c r="J30" s="1"/>
  <c r="F29" i="3"/>
  <c r="H29" s="1"/>
  <c r="F20" i="24"/>
  <c r="H20" s="1"/>
  <c r="F53" i="4"/>
  <c r="F9"/>
  <c r="C9" s="1"/>
  <c r="D12"/>
  <c r="H54" i="24" l="1"/>
  <c r="H60" s="1"/>
  <c r="B11" i="26"/>
  <c r="D11" s="1"/>
  <c r="I33" i="5"/>
  <c r="C38"/>
  <c r="C47" s="1"/>
  <c r="I47" s="1"/>
  <c r="C37"/>
  <c r="C46" s="1"/>
  <c r="I46" s="1"/>
  <c r="E12" i="2"/>
  <c r="E12" i="29"/>
  <c r="E49" i="5"/>
  <c r="I49"/>
  <c r="N14" i="18"/>
  <c r="S14" s="1"/>
  <c r="C56" i="5"/>
  <c r="E55"/>
  <c r="I55" s="1"/>
  <c r="J57" s="1"/>
  <c r="J59"/>
  <c r="F22" i="24"/>
  <c r="H22" s="1"/>
  <c r="F19" i="3"/>
  <c r="F46"/>
  <c r="H46" s="1"/>
  <c r="H31" i="24"/>
  <c r="F16" i="3"/>
  <c r="H16" s="1"/>
  <c r="F14" i="24"/>
  <c r="H14" s="1"/>
  <c r="H17" s="1"/>
  <c r="F21"/>
  <c r="H21" s="1"/>
  <c r="F30" i="3"/>
  <c r="H30" s="1"/>
  <c r="H32" i="24" l="1"/>
  <c r="E8" i="2" s="1"/>
  <c r="J61" i="5"/>
  <c r="J51"/>
  <c r="E8" i="29"/>
  <c r="E10" i="2"/>
  <c r="E10" i="29"/>
  <c r="C57" i="5"/>
  <c r="E57" s="1"/>
  <c r="E56"/>
  <c r="E7" i="2"/>
  <c r="G78" i="24"/>
  <c r="H78" s="1"/>
  <c r="H79" s="1"/>
  <c r="C41" i="1" s="1"/>
  <c r="D41" s="1"/>
  <c r="E7" i="29"/>
  <c r="I150" i="30"/>
  <c r="H19" i="3"/>
  <c r="F31"/>
  <c r="H31" s="1"/>
  <c r="H47" s="1"/>
  <c r="C11" i="18" s="1"/>
  <c r="J11" s="1"/>
  <c r="H25" i="3"/>
  <c r="J71" i="5" l="1"/>
  <c r="J73" s="1"/>
  <c r="J77" s="1"/>
  <c r="J79" s="1"/>
  <c r="C41" i="28"/>
  <c r="D41" s="1"/>
  <c r="C42"/>
  <c r="D42" s="1"/>
  <c r="C42" i="1"/>
  <c r="D42" s="1"/>
  <c r="N11" i="18"/>
  <c r="S11" s="1"/>
  <c r="G102" i="3"/>
  <c r="H102" s="1"/>
  <c r="H103" s="1"/>
  <c r="C17" i="18" s="1"/>
  <c r="J17" s="1"/>
  <c r="C10"/>
  <c r="J10" s="1"/>
  <c r="S10" s="1"/>
  <c r="H168" i="3"/>
  <c r="E13" i="29"/>
  <c r="E21" s="1"/>
  <c r="E13" i="2"/>
  <c r="E21" s="1"/>
  <c r="G31" i="29" l="1"/>
  <c r="I31" s="1"/>
  <c r="G34"/>
  <c r="G27"/>
  <c r="G30"/>
  <c r="I30" s="1"/>
  <c r="G33"/>
  <c r="I33" s="1"/>
  <c r="G25" i="28" s="1"/>
  <c r="G28" i="29"/>
  <c r="I28" s="1"/>
  <c r="G29"/>
  <c r="I29" s="1"/>
  <c r="G32"/>
  <c r="I32" s="1"/>
  <c r="C20" i="28"/>
  <c r="C22" s="1"/>
  <c r="C25" s="1"/>
  <c r="G26" i="29"/>
  <c r="I26" s="1"/>
  <c r="N17" i="18"/>
  <c r="S17" s="1"/>
  <c r="G33" i="2"/>
  <c r="I33" s="1"/>
  <c r="G24" i="1" s="1"/>
  <c r="G26" i="2"/>
  <c r="I26" s="1"/>
  <c r="G30"/>
  <c r="I30" s="1"/>
  <c r="G27"/>
  <c r="C20" i="1"/>
  <c r="C22" s="1"/>
  <c r="C25" s="1"/>
  <c r="G31" i="2"/>
  <c r="I31" s="1"/>
  <c r="G25" i="1" s="1"/>
  <c r="G32" i="2"/>
  <c r="I32" s="1"/>
  <c r="G29"/>
  <c r="I29" s="1"/>
  <c r="G28"/>
  <c r="I28" s="1"/>
  <c r="G34"/>
  <c r="G19" i="1" l="1"/>
  <c r="G19" i="28"/>
  <c r="G23" i="1"/>
  <c r="G23" i="28"/>
  <c r="G21" i="1"/>
  <c r="G21" i="28"/>
  <c r="G20" i="1"/>
  <c r="G20" i="28"/>
  <c r="H35" i="2"/>
  <c r="G22" i="1"/>
  <c r="B16" i="26" s="1"/>
  <c r="G24" i="25"/>
  <c r="G35" s="1"/>
  <c r="H35" i="29"/>
  <c r="G22" i="28"/>
  <c r="F33" l="1"/>
  <c r="C27" i="18"/>
  <c r="J27" s="1"/>
  <c r="J35" i="2"/>
  <c r="G26" i="1"/>
  <c r="C26" s="1"/>
  <c r="F33" s="1"/>
  <c r="B17" i="26"/>
  <c r="B18" s="1"/>
  <c r="G26" i="28"/>
  <c r="C26" s="1"/>
  <c r="B19" i="26" l="1"/>
  <c r="D19" s="1"/>
  <c r="D18"/>
  <c r="C43" i="28"/>
  <c r="D43" s="1"/>
  <c r="F34"/>
  <c r="F36" s="1"/>
  <c r="F34" i="1"/>
  <c r="D25" i="26"/>
  <c r="F36" i="1"/>
  <c r="G36" i="25"/>
  <c r="G37" s="1"/>
  <c r="C43" i="1"/>
  <c r="D43" s="1"/>
  <c r="H34"/>
  <c r="J28" i="18"/>
  <c r="J41" s="1"/>
  <c r="J43" s="1"/>
  <c r="J44" s="1"/>
  <c r="N27"/>
  <c r="N28" s="1"/>
  <c r="L34" s="1"/>
  <c r="D22" i="26" l="1"/>
  <c r="S27" i="18"/>
  <c r="M34"/>
  <c r="O34" s="1"/>
  <c r="O38" s="1"/>
  <c r="L38"/>
  <c r="D29" i="26"/>
  <c r="D31" s="1"/>
</calcChain>
</file>

<file path=xl/sharedStrings.xml><?xml version="1.0" encoding="utf-8"?>
<sst xmlns="http://schemas.openxmlformats.org/spreadsheetml/2006/main" count="2145" uniqueCount="941">
  <si>
    <t>KRYCÍ LIST ROZPOČTU</t>
  </si>
  <si>
    <t>Objekt :</t>
  </si>
  <si>
    <t>Název objektu :</t>
  </si>
  <si>
    <t xml:space="preserve"> </t>
  </si>
  <si>
    <t>Stavba :</t>
  </si>
  <si>
    <t>Název stavby :</t>
  </si>
  <si>
    <t>Projektant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</si>
  <si>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</si>
  <si>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</si>
  <si>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</si>
  <si>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</si>
  <si>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</si>
  <si>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</si>
  <si>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</si>
  <si>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</si>
  <si>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</si>
  <si>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</si>
  <si>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</si>
  <si>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</si>
  <si>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</si>
  <si>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</si>
  <si>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</si>
  <si>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</si>
  <si>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</si>
  <si>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</si>
  <si>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</si>
  <si>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</si>
  <si>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</si>
  <si>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</si>
  <si>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</si>
  <si>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</si>
  <si>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</si>
  <si>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</si>
  <si>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</si>
  <si>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</si>
  <si>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</si>
  <si>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Rozpočet :</t>
  </si>
  <si>
    <t>Stavební díl</t>
  </si>
  <si>
    <t>HSV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</si>
  <si>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</si>
  <si>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</si>
  <si>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</si>
  <si>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</si>
  <si>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</si>
  <si>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</si>
  <si>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</si>
  <si>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</si>
  <si>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</si>
  <si>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</si>
  <si>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</si>
  <si>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</si>
  <si>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</si>
  <si>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</si>
  <si>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</si>
  <si>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</si>
  <si>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</si>
  <si>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</si>
  <si>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</si>
  <si>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Rozpočty RD</t>
  </si>
  <si>
    <t>m3</t>
  </si>
  <si>
    <t>m2</t>
  </si>
  <si>
    <t>605</t>
  </si>
  <si>
    <t>Kostra - dodávka + montáž</t>
  </si>
  <si>
    <t>kpl</t>
  </si>
  <si>
    <t>Prkno - záklop 1" dodávka (půdička)</t>
  </si>
  <si>
    <t>kus</t>
  </si>
  <si>
    <t>762342203R00</t>
  </si>
  <si>
    <t>762342204R00</t>
  </si>
  <si>
    <t>762812510R00</t>
  </si>
  <si>
    <t>762955000</t>
  </si>
  <si>
    <t>Spojovací prostředky</t>
  </si>
  <si>
    <t>6072</t>
  </si>
  <si>
    <t>715191009R00</t>
  </si>
  <si>
    <t>715191010R00</t>
  </si>
  <si>
    <t>764252401R00</t>
  </si>
  <si>
    <t>m</t>
  </si>
  <si>
    <t>764410230R00</t>
  </si>
  <si>
    <t>764454203R00</t>
  </si>
  <si>
    <t>Odpadní trouby z Pz plechu, kruhové, D 120 mm</t>
  </si>
  <si>
    <t>765</t>
  </si>
  <si>
    <t>PC</t>
  </si>
  <si>
    <t>Síťka 3,5 mm</t>
  </si>
  <si>
    <t>Podkladní stěrková omítka JUB</t>
  </si>
  <si>
    <t>Aku lišty venkovní</t>
  </si>
  <si>
    <t>Montáž 1.NP obvodový plášť</t>
  </si>
  <si>
    <t>Montáž 1.NP strop</t>
  </si>
  <si>
    <t>342261211R00</t>
  </si>
  <si>
    <t>342264051R00</t>
  </si>
  <si>
    <t>342264052R00</t>
  </si>
  <si>
    <t>342266111R00</t>
  </si>
  <si>
    <t>Vnitřní kanalizace</t>
  </si>
  <si>
    <t>Vnitřní vodovod</t>
  </si>
  <si>
    <t>Zařizovací předměty 2.NP</t>
  </si>
  <si>
    <t>Kompletace 1.NP</t>
  </si>
  <si>
    <t>Kompletace 2.NP</t>
  </si>
  <si>
    <t>597</t>
  </si>
  <si>
    <t>Dlažba keramická - dodávka 1. NP</t>
  </si>
  <si>
    <t>Dlažba keramická - dodávka 2. NP</t>
  </si>
  <si>
    <t>771</t>
  </si>
  <si>
    <t>Montáž podlah keramických 1.NP</t>
  </si>
  <si>
    <t>Montáž podlah keramických 2.NP</t>
  </si>
  <si>
    <t>781</t>
  </si>
  <si>
    <t>Montáž obkladů keramických 1.NP</t>
  </si>
  <si>
    <t>Montáž obkladů keramických 2.NP</t>
  </si>
  <si>
    <t>Dodávka keramických obkladů - 1.NP</t>
  </si>
  <si>
    <t>Dodávka keramických obkladů - 2.NP</t>
  </si>
  <si>
    <t>Elektroinstalace 1. NP</t>
  </si>
  <si>
    <t>Elektroinstalace 2. NP</t>
  </si>
  <si>
    <t>Staveništní přesun hmot</t>
  </si>
  <si>
    <t>998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</si>
  <si>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</si>
  <si>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</si>
  <si>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</si>
  <si>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</si>
  <si>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</si>
  <si>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</si>
  <si>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Rezerva rozpočtu</t>
  </si>
  <si>
    <t>B</t>
  </si>
  <si>
    <t>Kostra</t>
  </si>
  <si>
    <t>C</t>
  </si>
  <si>
    <t>Kostra - doplňkové konstrukce</t>
  </si>
  <si>
    <t>D</t>
  </si>
  <si>
    <t>Tepelné izolace</t>
  </si>
  <si>
    <t>F</t>
  </si>
  <si>
    <t>G</t>
  </si>
  <si>
    <t>Vnitřní instalace</t>
  </si>
  <si>
    <t>Zařizovací předměty</t>
  </si>
  <si>
    <t>Zařizovací předměty 1.NP</t>
  </si>
  <si>
    <t>I</t>
  </si>
  <si>
    <t>Vytápění</t>
  </si>
  <si>
    <t>J</t>
  </si>
  <si>
    <t>Podlahy a obklady</t>
  </si>
  <si>
    <t>L</t>
  </si>
  <si>
    <t>Elektroinstalace</t>
  </si>
  <si>
    <t>Vnitřní dveře a schody</t>
  </si>
  <si>
    <t>O</t>
  </si>
  <si>
    <t>Malby</t>
  </si>
  <si>
    <t>P</t>
  </si>
  <si>
    <t>Montáž záklopu, zapuštěný na sraz, hoblovaná prkna montáž strop - půdička</t>
  </si>
  <si>
    <t>Podhled sádrokartonový na zavěšenou ocel. konstr.
des.standard 12,5mm, bez izolace - 2.NP</t>
  </si>
  <si>
    <t>A</t>
  </si>
  <si>
    <t>Základová deska</t>
  </si>
  <si>
    <t>Deska není součástí dodávky</t>
  </si>
  <si>
    <t>762</t>
  </si>
  <si>
    <t>Montáž roštu obvodového pláště</t>
  </si>
  <si>
    <t>Žlaby PZ plech, podokapní půlkruh., rš 330 mm D+M</t>
  </si>
  <si>
    <t>Okna VELUX GGL 3059 M 08  rozm.78/140 D+M</t>
  </si>
  <si>
    <t>Ostatní práce</t>
  </si>
  <si>
    <t>Sádrokartonové konstrukce</t>
  </si>
  <si>
    <t>Zálohové platby</t>
  </si>
  <si>
    <t>Montáž půdních schodů</t>
  </si>
  <si>
    <t>K</t>
  </si>
  <si>
    <t>M</t>
  </si>
  <si>
    <t>Zálohy</t>
  </si>
  <si>
    <t>Zálohy celkem</t>
  </si>
  <si>
    <t>Podlaha laminátová D+M - 1. NP</t>
  </si>
  <si>
    <t>Miralon D+M</t>
  </si>
  <si>
    <t>Lešení - montáž, pronájem , demontáž</t>
  </si>
  <si>
    <t>Podhled sádrokartonový na zavěšenou ocel. konstr.
des.standard 12,5mm, izol. 160 mm Orsil - 1.NP</t>
  </si>
  <si>
    <t>Příčka sádrokarton. ocel.kce, 2x oplášť. tl.100 mm
desky standard 12,5mm + opl.ORSIL 8cm - 1.NP</t>
  </si>
  <si>
    <t>Příčka sádrokarton. ocel.kce, 2x oplášť. tl.100 mm
desky standard 12,5mm + opl.ORSIL 8cm - 2.NP</t>
  </si>
  <si>
    <t>Montážní materiál 1. NP</t>
  </si>
  <si>
    <t>Montážní materiál 2. NP</t>
  </si>
  <si>
    <t>Fólie parotěsná 110g/m2 - obvod.stěny, půlštoky, štíty D+M</t>
  </si>
  <si>
    <t>Obklad stěn sádrokartonem na ocelovou konstrukci jednostranné bez izolace - 1.NP</t>
  </si>
  <si>
    <t>Montáž laťování střech</t>
  </si>
  <si>
    <t>Montáž laťování střech, svislé</t>
  </si>
  <si>
    <t>Příčka sádrokarton. ocel.kce, 2x oplášť. tl.250 mm
desky standard 12,5mm + opl.ORSIL 8cm - 1.NP</t>
  </si>
  <si>
    <t>Příčka sádrokarton. ocel.kce, 2x oplášť. tl.250 mm
desky standard 12,5mm + opl.ORSIL 8cm - 2.NP</t>
  </si>
  <si>
    <t>Garážová vrata sekční Lomax - bez el. pohonu</t>
  </si>
  <si>
    <t>Rozpočet RD</t>
  </si>
  <si>
    <t>36B</t>
  </si>
  <si>
    <t>36C</t>
  </si>
  <si>
    <t>Montáž izolace tep. stěn 1.NP Orsil tl. 6cm</t>
  </si>
  <si>
    <t>Montáž izolace tep. 2.NP Orsil tl. 6 cm</t>
  </si>
  <si>
    <t>Výkaz výměr pro položkový rozpočet</t>
  </si>
  <si>
    <t>Stavba:</t>
  </si>
  <si>
    <t>čistá</t>
  </si>
  <si>
    <t xml:space="preserve">Díl </t>
  </si>
  <si>
    <t>část</t>
  </si>
  <si>
    <t>obest.pr./m3</t>
  </si>
  <si>
    <t>kpl/ks</t>
  </si>
  <si>
    <t>mb</t>
  </si>
  <si>
    <t>cena/</t>
  </si>
  <si>
    <t>B 2</t>
  </si>
  <si>
    <t>latě ,kon.</t>
  </si>
  <si>
    <t>kostra ob.pr.</t>
  </si>
  <si>
    <t>prk.záklop 5/4</t>
  </si>
  <si>
    <t>prk.zákl.5/4</t>
  </si>
  <si>
    <t>prk.záklop1/1</t>
  </si>
  <si>
    <t>prk.zákl.1/1</t>
  </si>
  <si>
    <t>mont.roštu obv.p.</t>
  </si>
  <si>
    <t>mont.zákl.IN.P.</t>
  </si>
  <si>
    <t>mon.laťování střech</t>
  </si>
  <si>
    <t>mont.zákl.půdička</t>
  </si>
  <si>
    <t>mont.lať. stř. svislé</t>
  </si>
  <si>
    <t>mont. záklop INP</t>
  </si>
  <si>
    <t>mont. zákl. půdička</t>
  </si>
  <si>
    <t>skelet OSB</t>
  </si>
  <si>
    <t>spoj. prostředky</t>
  </si>
  <si>
    <t>střecha</t>
  </si>
  <si>
    <t>římsy</t>
  </si>
  <si>
    <t>folie parotěsná</t>
  </si>
  <si>
    <t>folie paropropustná</t>
  </si>
  <si>
    <t>T. izolace</t>
  </si>
  <si>
    <t>C 12</t>
  </si>
  <si>
    <t>1NP orsil 140 stěna</t>
  </si>
  <si>
    <t>folie paroprop.stěna,střecha</t>
  </si>
  <si>
    <t>2 NP orsil 140 stěna</t>
  </si>
  <si>
    <t>f.parotěs.obv.stěny,půlšt.šťíty</t>
  </si>
  <si>
    <t>1NP orsil 60  stěna</t>
  </si>
  <si>
    <t>žlaby,poz.plech</t>
  </si>
  <si>
    <t>2NP orsil 60 stěna</t>
  </si>
  <si>
    <t>oplechování parapetů</t>
  </si>
  <si>
    <t>1NP orsil 140 strop</t>
  </si>
  <si>
    <t>Odpadní trouby</t>
  </si>
  <si>
    <t>Žlabový kotlík</t>
  </si>
  <si>
    <t>Sádrokartony</t>
  </si>
  <si>
    <t>Střešní krytina</t>
  </si>
  <si>
    <t>příčky 1NP-250</t>
  </si>
  <si>
    <t>příčky 1NP-100</t>
  </si>
  <si>
    <t>podhled 1NP</t>
  </si>
  <si>
    <t>obklad obv.pláště 1NP</t>
  </si>
  <si>
    <t>síťka</t>
  </si>
  <si>
    <t>sádrok. koupelna1NP</t>
  </si>
  <si>
    <t>Penetrace</t>
  </si>
  <si>
    <t>Akrylátová omítka</t>
  </si>
  <si>
    <t>příčky 2NP-250</t>
  </si>
  <si>
    <t>Obklad-fas.polyst.</t>
  </si>
  <si>
    <t>příčky 2NP-100</t>
  </si>
  <si>
    <t>šikminy  2NP</t>
  </si>
  <si>
    <t>obklad obv.pláště 2NP</t>
  </si>
  <si>
    <t>sádrok.koupelna 2NP</t>
  </si>
  <si>
    <t>rigidur 1NP</t>
  </si>
  <si>
    <t>rigidur 2NP</t>
  </si>
  <si>
    <t>Montáž 1NP obv. plášť</t>
  </si>
  <si>
    <t>Montáž 1NP strop</t>
  </si>
  <si>
    <t>Dod. 1 NP Orsil 1400-stěnya str.</t>
  </si>
  <si>
    <t>dlažby 1NP</t>
  </si>
  <si>
    <t>Mont. 2NP půlš.štíty,půd.šik.</t>
  </si>
  <si>
    <t>sokl 1NP</t>
  </si>
  <si>
    <t>Dod. 2 NP Orsil 1400mm</t>
  </si>
  <si>
    <t>dlažby 2NP</t>
  </si>
  <si>
    <t>Mont.obv.stěn 1NP ors.6cm</t>
  </si>
  <si>
    <t>sokl 2NP</t>
  </si>
  <si>
    <t>Mont.obv.stěn podkr.ors.6cm</t>
  </si>
  <si>
    <t>podlahy 1NP</t>
  </si>
  <si>
    <t>Dod. Orsil 60mm přízemí</t>
  </si>
  <si>
    <t>podlahy 2NP</t>
  </si>
  <si>
    <t>Dod.Orsil 60mm podkroví</t>
  </si>
  <si>
    <t>obklady 1NP</t>
  </si>
  <si>
    <t>obklady 2NP</t>
  </si>
  <si>
    <t>Příčka sádrok. 2x opl- tl.250 -1NP</t>
  </si>
  <si>
    <t>žlaby</t>
  </si>
  <si>
    <t>Příčka sádrok. 2x opl- tl.100 -1NP</t>
  </si>
  <si>
    <t>oplech. parapetů</t>
  </si>
  <si>
    <t>Podhled sádr.   1 NP</t>
  </si>
  <si>
    <t>odpadní trouby</t>
  </si>
  <si>
    <t>Obklad obv.stěn jednostr.- 1NP</t>
  </si>
  <si>
    <t>kotlík  ks</t>
  </si>
  <si>
    <t>Příčka sádrok. 2x opl- tl.250 -2NP</t>
  </si>
  <si>
    <t>okna, balk.dv.</t>
  </si>
  <si>
    <t>Příčka sádrok. 2x opl- tl.100 -2NP</t>
  </si>
  <si>
    <t>vchod.dv.  Ks</t>
  </si>
  <si>
    <t>Podhled sádr.  2 NP</t>
  </si>
  <si>
    <t>okna Velux</t>
  </si>
  <si>
    <t>šikminy - 2NP</t>
  </si>
  <si>
    <t>půd.schody</t>
  </si>
  <si>
    <t>Obklad obv.stěn jednostr.- 2NP</t>
  </si>
  <si>
    <t>ostatní práce</t>
  </si>
  <si>
    <t>Montáž vn. dveří</t>
  </si>
  <si>
    <t xml:space="preserve">Montáž půd.schodů. </t>
  </si>
  <si>
    <t>Montáž soklu 1NP</t>
  </si>
  <si>
    <t>Montáž dlažeb 1NP</t>
  </si>
  <si>
    <t>Montáž obkladů 1NP</t>
  </si>
  <si>
    <t>Montázní materiál 1NP</t>
  </si>
  <si>
    <t>Montáž dlažeb 2NP</t>
  </si>
  <si>
    <t>Montáž obkladů 2NP</t>
  </si>
  <si>
    <t>Montážní materiál 2NP</t>
  </si>
  <si>
    <t>Tepelná iz. podl polys. dod 1 NP</t>
  </si>
  <si>
    <t>56b</t>
  </si>
  <si>
    <t>Tepelná iz. podl polys. mont 1 NP</t>
  </si>
  <si>
    <t>56c</t>
  </si>
  <si>
    <t>Rigidur dodávka 1NP</t>
  </si>
  <si>
    <t>56d</t>
  </si>
  <si>
    <t>Rigidur montáž  1NP</t>
  </si>
  <si>
    <t>56e</t>
  </si>
  <si>
    <t>Rigidur , hobra dodávka  2NP</t>
  </si>
  <si>
    <t>56f</t>
  </si>
  <si>
    <t>Rigidur , hobra montáž  2NP</t>
  </si>
  <si>
    <t xml:space="preserve">I </t>
  </si>
  <si>
    <t>Malby   1NP</t>
  </si>
  <si>
    <t>Malby   2 NP</t>
  </si>
  <si>
    <t>J 59</t>
  </si>
  <si>
    <t>Výp. 0t. -vch.d.</t>
  </si>
  <si>
    <t>Výp.ot.okna,balk</t>
  </si>
  <si>
    <t>Okna Velux</t>
  </si>
  <si>
    <t>Podkl.stěr. 0m.</t>
  </si>
  <si>
    <t>s proř.</t>
  </si>
  <si>
    <t>malba 1 NP</t>
  </si>
  <si>
    <t>malba 2 NP</t>
  </si>
  <si>
    <t>Podlahové topení 1NP</t>
  </si>
  <si>
    <t>Podlahové topení 2NP</t>
  </si>
  <si>
    <t>Teplovodní radiatory Radik  1NP</t>
  </si>
  <si>
    <t>Teplovodní radiatory Radik  2NP</t>
  </si>
  <si>
    <t>Komín EKO + omítka</t>
  </si>
  <si>
    <t xml:space="preserve">Přesun hmot </t>
  </si>
  <si>
    <t>Skládací půdní schody D+M</t>
  </si>
  <si>
    <t>plocha střechy</t>
  </si>
  <si>
    <t>štítová hrana L</t>
  </si>
  <si>
    <t>štítová hrana P</t>
  </si>
  <si>
    <t>okapní hrana</t>
  </si>
  <si>
    <t>hřeben</t>
  </si>
  <si>
    <t>nároží</t>
  </si>
  <si>
    <t>úžlabí</t>
  </si>
  <si>
    <t>taška základní</t>
  </si>
  <si>
    <t>ks</t>
  </si>
  <si>
    <t>taška větrací</t>
  </si>
  <si>
    <t>taška orajová levá</t>
  </si>
  <si>
    <t>taška orajová pravá</t>
  </si>
  <si>
    <t>hřebenáč</t>
  </si>
  <si>
    <t>plocha domu vč.oken</t>
  </si>
  <si>
    <t>OSB</t>
  </si>
  <si>
    <t>plocha podbití</t>
  </si>
  <si>
    <t>palubky</t>
  </si>
  <si>
    <t>RB</t>
  </si>
  <si>
    <t>RBI</t>
  </si>
  <si>
    <t>polystyren 3cm</t>
  </si>
  <si>
    <t>polystyren 2cm</t>
  </si>
  <si>
    <t>omítka 25kg</t>
  </si>
  <si>
    <t>Malba HETLINE 1. NP bílá, hladká</t>
  </si>
  <si>
    <t>Malba HETLINE 2. NP bílá, hladká</t>
  </si>
  <si>
    <t>fólie parotěsná</t>
  </si>
  <si>
    <t>fólie paropropustná</t>
  </si>
  <si>
    <t>plocha domu vč.říms</t>
  </si>
  <si>
    <t>plocha RB   -  1NP</t>
  </si>
  <si>
    <t>plocha RBI -   1NP</t>
  </si>
  <si>
    <t>plocha RB   -  2NP</t>
  </si>
  <si>
    <t>plocha RBI -   2NP</t>
  </si>
  <si>
    <t>izolace 140  -1 NP</t>
  </si>
  <si>
    <t>izolace 140  -2 NP</t>
  </si>
  <si>
    <t>izolace  80 příčky 1 NP</t>
  </si>
  <si>
    <t>izolace  80 příčky 2 NP</t>
  </si>
  <si>
    <t>polystyren podl.top</t>
  </si>
  <si>
    <t>polystyren 70mm</t>
  </si>
  <si>
    <t>Profily</t>
  </si>
  <si>
    <t>CD</t>
  </si>
  <si>
    <t>UD</t>
  </si>
  <si>
    <t>UW</t>
  </si>
  <si>
    <t>CW</t>
  </si>
  <si>
    <t>šroubky sádrok.</t>
  </si>
  <si>
    <t>šroubky skelet</t>
  </si>
  <si>
    <t>Pc</t>
  </si>
  <si>
    <t>Broušení trámů</t>
  </si>
  <si>
    <t>Lištování trámů</t>
  </si>
  <si>
    <t>Obkladfasádním  polystyrenem tl. 3cm - D+M</t>
  </si>
  <si>
    <t>vnitřní šířka   1 NP</t>
  </si>
  <si>
    <t>vnitřní délka  1 NP</t>
  </si>
  <si>
    <t>podlaha  1NP</t>
  </si>
  <si>
    <t>strop 1NP</t>
  </si>
  <si>
    <t>výška stěny</t>
  </si>
  <si>
    <t>plocha vnit.stěn 1NP</t>
  </si>
  <si>
    <t>vnitřní délka 2 NP</t>
  </si>
  <si>
    <t>vnitřní šířka  2 NP</t>
  </si>
  <si>
    <t>podlaha  2 NP</t>
  </si>
  <si>
    <t>venkovní délka</t>
  </si>
  <si>
    <t>venkovní šířka</t>
  </si>
  <si>
    <t>šířka podhledů</t>
  </si>
  <si>
    <t>délka  podhledů</t>
  </si>
  <si>
    <t>tloušťka stěny</t>
  </si>
  <si>
    <t>doplněk</t>
  </si>
  <si>
    <t>příčky 1NP-250-délka</t>
  </si>
  <si>
    <t>příčky 1NP-100 -délka</t>
  </si>
  <si>
    <t>příčky 2NP</t>
  </si>
  <si>
    <t>Příčky  1 NP</t>
  </si>
  <si>
    <t>příčky 2NP-250-délka</t>
  </si>
  <si>
    <t>příčky 2NP-100 -délka</t>
  </si>
  <si>
    <t>Dlažby 1 NP</t>
  </si>
  <si>
    <t>Dlažby 2 NP</t>
  </si>
  <si>
    <t>délka stěn 1NP</t>
  </si>
  <si>
    <t>délka stěn 2NP</t>
  </si>
  <si>
    <t>int.dveře  1 NP</t>
  </si>
  <si>
    <t>int.dveře  2 NP</t>
  </si>
  <si>
    <t>plocha strop</t>
  </si>
  <si>
    <t>plocha vn.stěn 2NP</t>
  </si>
  <si>
    <t>strop 2NP</t>
  </si>
  <si>
    <t>půlštok</t>
  </si>
  <si>
    <t>100</t>
  </si>
  <si>
    <t>šířka strop 2NP</t>
  </si>
  <si>
    <t>plocha příček</t>
  </si>
  <si>
    <t>kostra obest. prostor</t>
  </si>
  <si>
    <t>plocha štítů 2NP</t>
  </si>
  <si>
    <t>Obvodový plášť</t>
  </si>
  <si>
    <t>Vnitřní plášť</t>
  </si>
  <si>
    <t>Střecha</t>
  </si>
  <si>
    <t>Příčky</t>
  </si>
  <si>
    <t>podlahy lamino  1NP</t>
  </si>
  <si>
    <t>podlahy lamino  2NP</t>
  </si>
  <si>
    <t>Obestavěný prostor</t>
  </si>
  <si>
    <t>kóta střecha</t>
  </si>
  <si>
    <t>kóta úžlabí</t>
  </si>
  <si>
    <t>výpočet</t>
  </si>
  <si>
    <t>venkdélkax venk.šíř.</t>
  </si>
  <si>
    <t>obestavěný prostor</t>
  </si>
  <si>
    <t>vchod. dveře</t>
  </si>
  <si>
    <t>gar.vrata</t>
  </si>
  <si>
    <t>obklad 1NP plocha</t>
  </si>
  <si>
    <t>obklad 2NP  plocha</t>
  </si>
  <si>
    <t>výška obkladů 1 NP</t>
  </si>
  <si>
    <t>výška obkladu  2 NP</t>
  </si>
  <si>
    <t>1NP</t>
  </si>
  <si>
    <t>2NP</t>
  </si>
  <si>
    <t>Velux</t>
  </si>
  <si>
    <t>plocha příčky 250</t>
  </si>
  <si>
    <t>plocha příčky 100</t>
  </si>
  <si>
    <t>sklon střechy xcosinus</t>
  </si>
  <si>
    <t>plocha střechy prostá</t>
  </si>
  <si>
    <t>El.přímotopy  1NP standard</t>
  </si>
  <si>
    <t>El.přímotopy  2NP standard</t>
  </si>
  <si>
    <t xml:space="preserve">Dodávka dveří vč. kování </t>
  </si>
  <si>
    <t>dřevěné schody</t>
  </si>
  <si>
    <t>komín</t>
  </si>
  <si>
    <t xml:space="preserve">                                                                                                    </t>
  </si>
  <si>
    <t>plocha skelet celkem</t>
  </si>
  <si>
    <t>okna, balk,dv.m2</t>
  </si>
  <si>
    <t>plocha skelet obvod</t>
  </si>
  <si>
    <t>plocha skel.štíty</t>
  </si>
  <si>
    <t>plocha podhledů</t>
  </si>
  <si>
    <t>plocha skelet bez podhl.</t>
  </si>
  <si>
    <t>plocha stř. celkem</t>
  </si>
  <si>
    <t>int.dveře  ks</t>
  </si>
  <si>
    <t>roury odpadní</t>
  </si>
  <si>
    <t>Šikminy ,štíty,půlštok -sádrokartonové na za. ocel. konstr.
des.standard 12,5mm, bez izolace - 2.NP</t>
  </si>
  <si>
    <t>délka půl,šikmina</t>
  </si>
  <si>
    <t>plocha půl.a šikmin</t>
  </si>
  <si>
    <t>Dům</t>
  </si>
  <si>
    <t>Garáž</t>
  </si>
  <si>
    <t>odpočet stěny-2x</t>
  </si>
  <si>
    <t>Vnitřní plynovod</t>
  </si>
  <si>
    <t>odpočet na podl.pl.</t>
  </si>
  <si>
    <t>odpočet podl.pl.</t>
  </si>
  <si>
    <t>Montáž 2.NP - půlštoky,štíty, půdička, šikminy Orsiltl.140 mm</t>
  </si>
  <si>
    <t>Dřevěné schody dle standardu stavby D+M</t>
  </si>
  <si>
    <t>f. Refiz</t>
  </si>
  <si>
    <t>Hydroizolace tekutá - koupelny</t>
  </si>
  <si>
    <t>Ostatní</t>
  </si>
  <si>
    <t>cos. střechy</t>
  </si>
  <si>
    <t>Venkovní délka</t>
  </si>
  <si>
    <t>Venkovní šířka</t>
  </si>
  <si>
    <t>prořez  10%</t>
  </si>
  <si>
    <t>prořez  10%)</t>
  </si>
  <si>
    <t>lešení</t>
  </si>
  <si>
    <t>odpady</t>
  </si>
  <si>
    <t>Propočet oken a parapetů</t>
  </si>
  <si>
    <t>výška</t>
  </si>
  <si>
    <t>šířka</t>
  </si>
  <si>
    <t>rozměr</t>
  </si>
  <si>
    <t>Celkem rozměr okna</t>
  </si>
  <si>
    <t>Celken délka parapetů</t>
  </si>
  <si>
    <t>Návod k orientaci v rozpočtu</t>
  </si>
  <si>
    <t xml:space="preserve">   -možno upravovat změnovým listem</t>
  </si>
  <si>
    <t xml:space="preserve">   -cena pevná</t>
  </si>
  <si>
    <t>od data tvorby rozpočtu do data začátku stavby, a změnou cen jednotlivých položek v ceníku prací  RTS.</t>
  </si>
  <si>
    <t>přesah střechy</t>
  </si>
  <si>
    <t>Ze studie</t>
  </si>
  <si>
    <r>
      <t>Re</t>
    </r>
    <r>
      <rPr>
        <b/>
        <i/>
        <sz val="26"/>
        <color indexed="13"/>
        <rFont val="Garamond"/>
        <family val="1"/>
        <charset val="238"/>
      </rPr>
      <t>fi</t>
    </r>
    <r>
      <rPr>
        <b/>
        <sz val="26"/>
        <color indexed="10"/>
        <rFont val="Times New Roman"/>
        <family val="1"/>
        <charset val="238"/>
      </rPr>
      <t xml:space="preserve">Z   </t>
    </r>
    <r>
      <rPr>
        <b/>
        <sz val="20"/>
        <rFont val="Times New Roman"/>
        <family val="1"/>
        <charset val="238"/>
      </rPr>
      <t>s.r.o</t>
    </r>
    <r>
      <rPr>
        <b/>
        <sz val="26"/>
        <rFont val="Times New Roman"/>
        <family val="1"/>
        <charset val="238"/>
      </rPr>
      <t>.</t>
    </r>
  </si>
  <si>
    <t>Okružní 77, Žďár n. Sázavou 591 01</t>
  </si>
  <si>
    <t>Díly rozpočtu označené žlutě    -  cena stavby pevná</t>
  </si>
  <si>
    <t>Díly rozpočtu označené modře  -  cena stavby zálohová</t>
  </si>
  <si>
    <t>Venkovní délka střechy</t>
  </si>
  <si>
    <t>Venkovní šířka střechy</t>
  </si>
  <si>
    <t>Výplně otvorů - vchodové dveře vel.90/210</t>
  </si>
  <si>
    <t>Kotel elektro 6 kW  Protherm Rejnok</t>
  </si>
  <si>
    <t>Kotel plynový  Protherm Ziger 12 KTZ s 45 l. zásobníkem</t>
  </si>
  <si>
    <t>parapety-včetně rohů Pz, -montáž</t>
  </si>
  <si>
    <t>Refiz s.r.o.</t>
  </si>
  <si>
    <t>19A</t>
  </si>
  <si>
    <t>Obslužné okno KM BETA</t>
  </si>
  <si>
    <t>Desky OSB tl. 1,20mm  D+M</t>
  </si>
  <si>
    <t>Celkem obvod oken</t>
  </si>
  <si>
    <t xml:space="preserve">Celkem plocha </t>
  </si>
  <si>
    <t>Odpočet oken</t>
  </si>
  <si>
    <t>Pomocný montážní mareriál</t>
  </si>
  <si>
    <t>dodávka Orsil  DOMO  tl.100mm stěny 1.NP</t>
  </si>
  <si>
    <t>dodávka Orsil  DOMO tl.100mm stěny 2.NP</t>
  </si>
  <si>
    <t>Ceny použitých stavebnívh materiálů jsou upraveny o prořezy, a ztratné, které odpovídá způsobu montáže.</t>
  </si>
  <si>
    <t>OSB tl. 250 mm, perodrážka - záklop D+M</t>
  </si>
  <si>
    <t>;;</t>
  </si>
  <si>
    <t xml:space="preserve">Montáž interierových dveří </t>
  </si>
  <si>
    <t>Investor:</t>
  </si>
  <si>
    <t>Jméno</t>
  </si>
  <si>
    <t>Příjmení</t>
  </si>
  <si>
    <t xml:space="preserve">Adresa </t>
  </si>
  <si>
    <t>doručování:</t>
  </si>
  <si>
    <t>PSČ</t>
  </si>
  <si>
    <t>e-mail</t>
  </si>
  <si>
    <t>telefon</t>
  </si>
  <si>
    <t>Rozpracovanost</t>
  </si>
  <si>
    <t>návštěva</t>
  </si>
  <si>
    <t>studie</t>
  </si>
  <si>
    <t>rozpočet</t>
  </si>
  <si>
    <t>projekt</t>
  </si>
  <si>
    <t>sml.o dílo</t>
  </si>
  <si>
    <t>termín ukončení</t>
  </si>
  <si>
    <t>skutečnost</t>
  </si>
  <si>
    <t>termíny zahájení stavby</t>
  </si>
  <si>
    <t>termín plán</t>
  </si>
  <si>
    <t>hobra 2x 15 mm D+M</t>
  </si>
  <si>
    <t>Položkový rozpočet větraná štěrbina</t>
  </si>
  <si>
    <t>Rozpočet - RD s větranou štěrbinou</t>
  </si>
  <si>
    <t xml:space="preserve">Montážní systém skeletu, krery využívá k  aktivnímu odvodu vody z izolace stěny </t>
  </si>
  <si>
    <t>větrací štěrbinu.</t>
  </si>
  <si>
    <t xml:space="preserve">Nízkoenergetický </t>
  </si>
  <si>
    <t>RD</t>
  </si>
  <si>
    <t>Varianta  A</t>
  </si>
  <si>
    <t>Varianta A:</t>
  </si>
  <si>
    <t>Skládací půdní schody</t>
  </si>
  <si>
    <t>Oplechování, doplňky</t>
  </si>
  <si>
    <t>Žlabový kotlík. Oplechování spojů, doplňky st. D+M</t>
  </si>
  <si>
    <t>broušení trámů</t>
  </si>
  <si>
    <t>lištování trámů</t>
  </si>
  <si>
    <t>Podlaha koupelny 1 NP</t>
  </si>
  <si>
    <t>Podlaha koupelny 2 NP</t>
  </si>
  <si>
    <t>Podlahová plocha celkem</t>
  </si>
  <si>
    <t>plocha bez sklonu</t>
  </si>
  <si>
    <t>Kompletní dodávka</t>
  </si>
  <si>
    <t xml:space="preserve">Rozpočet - RD               </t>
  </si>
  <si>
    <t>plocha celkem</t>
  </si>
  <si>
    <t>Rigidur 25 mm</t>
  </si>
  <si>
    <t>Rigidur 20 mm</t>
  </si>
  <si>
    <t>Hobra  25mm</t>
  </si>
  <si>
    <t>doplňky</t>
  </si>
  <si>
    <t>x</t>
  </si>
  <si>
    <t>izolace  100   -1NP</t>
  </si>
  <si>
    <t>izolace 100   - 2NP</t>
  </si>
  <si>
    <t>polystyren 90 mm</t>
  </si>
  <si>
    <t>Cena celkem</t>
  </si>
  <si>
    <t>opláštění</t>
  </si>
  <si>
    <t xml:space="preserve">palubky </t>
  </si>
  <si>
    <t>sádrokartony</t>
  </si>
  <si>
    <t xml:space="preserve">podlaha I </t>
  </si>
  <si>
    <t xml:space="preserve">podlaha 2 </t>
  </si>
  <si>
    <t>lepidlo 20kg</t>
  </si>
  <si>
    <t>doplňky podlahy</t>
  </si>
  <si>
    <t>Kostra  M+D komplet</t>
  </si>
  <si>
    <t>Celkem</t>
  </si>
  <si>
    <t>APV STAV</t>
  </si>
  <si>
    <t>Mach</t>
  </si>
  <si>
    <t>okna</t>
  </si>
  <si>
    <t>parapety</t>
  </si>
  <si>
    <t>parapety vň, +int.</t>
  </si>
  <si>
    <t>Ok.obs.</t>
  </si>
  <si>
    <t>Stř.okna</t>
  </si>
  <si>
    <t>Beta</t>
  </si>
  <si>
    <t>Eko 8m</t>
  </si>
  <si>
    <t>Omítka</t>
  </si>
  <si>
    <t>APV stav</t>
  </si>
  <si>
    <t>BUNČEK</t>
  </si>
  <si>
    <t>Předmět díla</t>
  </si>
  <si>
    <t>počet m2,ks,hod</t>
  </si>
  <si>
    <t>cena za m2,ks,hod</t>
  </si>
  <si>
    <t>Zhotovení skeletu OSB</t>
  </si>
  <si>
    <t>1 bm</t>
  </si>
  <si>
    <t>Výroba,mont. schodů</t>
  </si>
  <si>
    <t>Výroba a mont.lišt</t>
  </si>
  <si>
    <t>Montáž int.dveří</t>
  </si>
  <si>
    <t>Montáž nn. parapetů</t>
  </si>
  <si>
    <t>Doba provedení :</t>
  </si>
  <si>
    <t>Rozpočet</t>
  </si>
  <si>
    <t>počet dnů</t>
  </si>
  <si>
    <t>zhotovení sádrovl.podlah 2.NP</t>
  </si>
  <si>
    <t>vícepráce</t>
  </si>
  <si>
    <t>záloha</t>
  </si>
  <si>
    <t>Zhotovení omítky</t>
  </si>
  <si>
    <t>1 m2</t>
  </si>
  <si>
    <r>
      <t>Schody</t>
    </r>
    <r>
      <rPr>
        <sz val="10"/>
        <rFont val="Arial CE"/>
        <charset val="238"/>
      </rPr>
      <t xml:space="preserve"> </t>
    </r>
  </si>
  <si>
    <t xml:space="preserve">lešení </t>
  </si>
  <si>
    <t>Obslužné okno Beta</t>
  </si>
  <si>
    <t>Název</t>
  </si>
  <si>
    <t>Okna</t>
  </si>
  <si>
    <t>Den provedení</t>
  </si>
  <si>
    <t>Provedl</t>
  </si>
  <si>
    <t>Podlaha propočet</t>
  </si>
  <si>
    <t>Montážní lávka   - hoblovaná prkna   - montáž půda  D+M</t>
  </si>
  <si>
    <t>Garáž  plocha</t>
  </si>
  <si>
    <t>Obkladačské práce</t>
  </si>
  <si>
    <t>Pokrývačské práce</t>
  </si>
  <si>
    <t xml:space="preserve">Tesařské práce </t>
  </si>
  <si>
    <t xml:space="preserve">Tepelná izolace  polystyren podl.tl. 120mm - D - 1NP               </t>
  </si>
  <si>
    <t xml:space="preserve">Tepelná izolace  polystyren podl.tl. 120mm - M - 1NP               </t>
  </si>
  <si>
    <t>tel./fax:  +420  566 620 500  //  GSM: 603 817 595</t>
  </si>
  <si>
    <t>e-mail:  refiz@tiscali.cz  //  www.refiz.cz</t>
  </si>
  <si>
    <t>vyúčtování stavby:  RD - Nová Ves</t>
  </si>
  <si>
    <t>díl</t>
  </si>
  <si>
    <t>cena dle SoD</t>
  </si>
  <si>
    <t>odpočty</t>
  </si>
  <si>
    <t>ZL č.</t>
  </si>
  <si>
    <t>přípočty</t>
  </si>
  <si>
    <t>cena SoD + ZL</t>
  </si>
  <si>
    <t>fakturace I.</t>
  </si>
  <si>
    <t>fakturace II.</t>
  </si>
  <si>
    <t>fakturace III.</t>
  </si>
  <si>
    <t>fakturace IV.</t>
  </si>
  <si>
    <t>fakturace V.</t>
  </si>
  <si>
    <t>fakturace VI.</t>
  </si>
  <si>
    <t>k dofakturaci</t>
  </si>
  <si>
    <t>B - kostra</t>
  </si>
  <si>
    <t>C - doplňkové konstrukce</t>
  </si>
  <si>
    <t>D - tepelné izolace</t>
  </si>
  <si>
    <t>E</t>
  </si>
  <si>
    <t>F - sádrokartonové konstrukce</t>
  </si>
  <si>
    <t>G - ostatní práce</t>
  </si>
  <si>
    <t>I - malby</t>
  </si>
  <si>
    <t>J - staveništní přesun hmot</t>
  </si>
  <si>
    <t>K - vnitřní instalace ZTI</t>
  </si>
  <si>
    <t>L - zařizovací předměty ZTI</t>
  </si>
  <si>
    <t>M - vytápění</t>
  </si>
  <si>
    <t>N - podlahy a obklady</t>
  </si>
  <si>
    <t>O - elektroinstalace</t>
  </si>
  <si>
    <t>P - vnitřní dveře a schody</t>
  </si>
  <si>
    <t>venky 19%</t>
  </si>
  <si>
    <t>odpočty dle dohody</t>
  </si>
  <si>
    <t>přípočty dle dohody</t>
  </si>
  <si>
    <t>VRN</t>
  </si>
  <si>
    <t>celkem</t>
  </si>
  <si>
    <t>fakturace č.</t>
  </si>
  <si>
    <t>bez DPH</t>
  </si>
  <si>
    <t>DPH 9% / 10%</t>
  </si>
  <si>
    <t>DPH 19%</t>
  </si>
  <si>
    <t>vč. DPH</t>
  </si>
  <si>
    <t>I.</t>
  </si>
  <si>
    <t>II.</t>
  </si>
  <si>
    <t>III.</t>
  </si>
  <si>
    <t>IV.</t>
  </si>
  <si>
    <t>V.</t>
  </si>
  <si>
    <t>VI.</t>
  </si>
  <si>
    <t>konečná cena díla bez DPH:</t>
  </si>
  <si>
    <t>DPH 20%:</t>
  </si>
  <si>
    <t>DPH 10%:</t>
  </si>
  <si>
    <t>konečná cena celkem vč. DPH</t>
  </si>
  <si>
    <t>za zhotovitele:</t>
  </si>
  <si>
    <t>APV stav nabídka</t>
  </si>
  <si>
    <t>APV stav skutečnost</t>
  </si>
  <si>
    <t>APV stav výsledek</t>
  </si>
  <si>
    <t>Truhlářské práce-obklad říms-palubka, nátěr Luxol 2x</t>
  </si>
  <si>
    <t>Jméno : Ing. Jaroslav Petrák</t>
  </si>
  <si>
    <t>dle podkladů</t>
  </si>
  <si>
    <t>standard</t>
  </si>
  <si>
    <t>standardní provedení</t>
  </si>
  <si>
    <t>Podlaha PVC Tarkett AUT.300 D+M - 2. NP</t>
  </si>
  <si>
    <t>Tepelné čerpadlo Fujitsu ATW 18 -6,7 kW</t>
  </si>
  <si>
    <t>Fólie paropropustná 135g/m2 - stěna, střecha D+M</t>
  </si>
  <si>
    <t>Střešní krytina Mediterran standard - D+M</t>
  </si>
  <si>
    <t>Akrylátová omítka probarvená Jub</t>
  </si>
  <si>
    <t>Dodávka 1.NP Isover Uni .140 mm stěny a strop</t>
  </si>
  <si>
    <t>deska beton tl.5 cm D+M, doplňky</t>
  </si>
  <si>
    <t>Karisíť garáž</t>
  </si>
  <si>
    <t xml:space="preserve">deska Rigidur E25 - D +M- 2.NP            </t>
  </si>
  <si>
    <t>stupně</t>
  </si>
  <si>
    <t>radiany</t>
  </si>
  <si>
    <t>Dodávka 2.NP Isover Uni  tl. 140 mm</t>
  </si>
  <si>
    <t>Latě, kontralatě - dodávka</t>
  </si>
  <si>
    <t>Okna,balkon.dveře,parapety vnitřní,vnější.-záloha</t>
  </si>
  <si>
    <t>Standardní provedení staveb REFIZ s. r. o.</t>
  </si>
  <si>
    <t>Projekty</t>
  </si>
  <si>
    <t>stavební</t>
  </si>
  <si>
    <t>zhotovitel</t>
  </si>
  <si>
    <t>výrobní</t>
  </si>
  <si>
    <t>stavební povolení</t>
  </si>
  <si>
    <t>objednatel</t>
  </si>
  <si>
    <t>předávací protokol  </t>
  </si>
  <si>
    <t>kolaudace stavby</t>
  </si>
  <si>
    <t>SPODNÍ STAVBA</t>
  </si>
  <si>
    <t>projekt základové desky zhotovitel, stavba desky dle dohody</t>
  </si>
  <si>
    <t>terénní úpravy</t>
  </si>
  <si>
    <t>komunikace, chodníky</t>
  </si>
  <si>
    <t>přípojky inž. sítí</t>
  </si>
  <si>
    <t>objednatel, sítě nutné pro stavbu - elektro NN 220V do 10m od stavby, voda do 15 m od stavby</t>
  </si>
  <si>
    <t>VRCHNÍ STAVBA</t>
  </si>
  <si>
    <t>skladba stěn zevnitř ven:</t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</si>
  <si>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>12,5 mm sádrokarton Rigips</t>
    </r>
  </si>
  <si>
    <t>2. Stěny vnitřní 100 mm</t>
  </si>
  <si>
    <t>skladba stěn:</t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</si>
  <si>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>ocelová pozink. nosná konstrukce Rigips</t>
    </r>
  </si>
  <si>
    <t>3. Střešní konstrukce</t>
  </si>
  <si>
    <t>RD bez podkrovní vestavby</t>
  </si>
  <si>
    <t>RD s podkrovní vestavbou</t>
  </si>
  <si>
    <t>Doplněno o kompletní systém pro stěny vnější.</t>
  </si>
  <si>
    <t>Okapní svody</t>
  </si>
  <si>
    <t>4. Okna a balkonové dveře</t>
  </si>
  <si>
    <t>Okenní parapety venkovní – eloxovaný hliník (šířka 210 mm)</t>
  </si>
  <si>
    <t>Okenní rolety a žaluzie nejsou součástí ceny.</t>
  </si>
  <si>
    <t>Balkon - upřesněno rozpočtem dle typu RD</t>
  </si>
  <si>
    <t>5. Skladba podlah</t>
  </si>
  <si>
    <r>
      <t xml:space="preserve">Přízemí - </t>
    </r>
    <r>
      <rPr>
        <sz val="12"/>
        <rFont val="Times New Roman"/>
        <family val="1"/>
        <charset val="238"/>
      </rPr>
      <t>200 mm (tepelná izolace polystyren 140 mm, armovací síť, beton 50 mm, 10 mm povrchová úprava)</t>
    </r>
  </si>
  <si>
    <t>6. Obklady, dlažby</t>
  </si>
  <si>
    <t>Dlažba - koupelna a WC - přízemí a podkroví.</t>
  </si>
  <si>
    <t>Obklady - koupelna a WC - přízemí a podkroví do výše 2 m. Položení rovné.</t>
  </si>
  <si>
    <t>7. Sanitární vybavení, vodoinstalace</t>
  </si>
  <si>
    <t>Sanitární keramika bílá – SIKO, Ptáček. Rozvody plastové, kanalizace PVC - šedá.</t>
  </si>
  <si>
    <t>8. Elektroinstalace, vytápění</t>
  </si>
  <si>
    <t>Rozvody CU, rozvodnice typizovaná, vypínače, zásuvky barva bílá.</t>
  </si>
  <si>
    <t>Základní vybavení dle jednotlivých typů RD. Elektrické přímotopy Fenix s termostaty.</t>
  </si>
  <si>
    <t>Topení na zemní plyn - není v ceně dodávky. Rozvody CU, plyn. turbokotel Protherm 24 KTZ s vestavěným bojlerem, otopná tělesa - Radik VK s termostat. hlavicemi.</t>
  </si>
  <si>
    <t>Topení tepelným čerpadlem není obsaženo v ceně.</t>
  </si>
  <si>
    <t>9. Povrchové úpravy</t>
  </si>
  <si>
    <t>Prvky dřevěného obložení - Luxol. Nátěry stěn - Primalex+.</t>
  </si>
  <si>
    <t>Příklady možnosti dodávek RD v různém stupni rozpracovanosti</t>
  </si>
  <si>
    <r>
      <t xml:space="preserve">      </t>
    </r>
    <r>
      <rPr>
        <b/>
        <u/>
        <sz val="12"/>
        <rFont val="Times New Roman"/>
        <family val="1"/>
        <charset val="238"/>
      </rPr>
      <t>Stavba ultrahrubá</t>
    </r>
    <r>
      <rPr>
        <b/>
        <sz val="12"/>
        <rFont val="Times New Roman"/>
        <family val="1"/>
        <charset val="238"/>
      </rPr>
      <t>:</t>
    </r>
  </si>
  <si>
    <t>Kompletní skelet domu opatřený omítkou, střešní krytinou, pozinkované klempířské prvky, plastová okna, vchodové dveře, garážová vrata, balkon včetně dlažby.</t>
  </si>
  <si>
    <r>
      <t xml:space="preserve">      </t>
    </r>
    <r>
      <rPr>
        <b/>
        <u/>
        <sz val="12"/>
        <rFont val="Times New Roman"/>
        <family val="1"/>
        <charset val="238"/>
      </rPr>
      <t>Stavba hrubá</t>
    </r>
    <r>
      <rPr>
        <b/>
        <sz val="12"/>
        <rFont val="Times New Roman"/>
        <family val="1"/>
        <charset val="238"/>
      </rPr>
      <t>:</t>
    </r>
  </si>
  <si>
    <t>Stavba ultrahrubá s provedením izolace obvodového pláště, rozvody vody, kanalizace, elektrické energie, topení, sádrokartonové konstrukce obvodových stěn a stropu bez maleb a podlah.</t>
  </si>
  <si>
    <r>
      <t xml:space="preserve">      </t>
    </r>
    <r>
      <rPr>
        <b/>
        <u/>
        <sz val="12"/>
        <rFont val="Times New Roman"/>
        <family val="1"/>
        <charset val="238"/>
      </rPr>
      <t>Přízemní vestavba</t>
    </r>
    <r>
      <rPr>
        <b/>
        <sz val="12"/>
        <rFont val="Times New Roman"/>
        <family val="1"/>
        <charset val="238"/>
      </rPr>
      <t>:</t>
    </r>
  </si>
  <si>
    <t>Stavba přízemí včetně sanitárního vybavení, obkladů, dlažeb, dveří, podlah. topení, elektrické energie, provedení maleb. Bez provedení podkrovní vestavby.</t>
  </si>
  <si>
    <r>
      <t xml:space="preserve">      </t>
    </r>
    <r>
      <rPr>
        <b/>
        <u/>
        <sz val="12"/>
        <rFont val="Times New Roman"/>
        <family val="1"/>
        <charset val="238"/>
      </rPr>
      <t>Kompletní stavba</t>
    </r>
    <r>
      <rPr>
        <b/>
        <sz val="12"/>
        <rFont val="Times New Roman"/>
        <family val="1"/>
        <charset val="238"/>
      </rPr>
      <t>:</t>
    </r>
  </si>
  <si>
    <t>Kompletní přízemní a podkrovní stavba domu.</t>
  </si>
  <si>
    <t>Mimo standardního provedení lze použít i jiné stavební materiály, vybavení a způsob vytápění domu dle přání zákazníka.</t>
  </si>
  <si>
    <t>Všechny použité stavební materiály mají osvědčení o jakosti a zdravotní nezávadnosti.</t>
  </si>
  <si>
    <t>12,5 mm sádrokarton Rigips</t>
  </si>
  <si>
    <t>140 mm dřevěná konstrukce </t>
  </si>
  <si>
    <t>penetrace Vezakryl </t>
  </si>
  <si>
    <t>1,5 mm akrylátová omítka probarvená v zákl. ceně – bez příplatku za pigment</t>
  </si>
  <si>
    <t>Odpady</t>
  </si>
  <si>
    <t>Penetrace , nátěr Vezakryl</t>
  </si>
  <si>
    <t>Dodávka posuvných dveří do pouzdra JAP</t>
  </si>
  <si>
    <t>Výplně otvorů</t>
  </si>
  <si>
    <t>Dveře</t>
  </si>
  <si>
    <t>Střešní okna</t>
  </si>
  <si>
    <t>Obslužné okno</t>
  </si>
  <si>
    <t>1.NP:Příčka 25cm</t>
  </si>
  <si>
    <t>1.NP:Příčka 10cm</t>
  </si>
  <si>
    <t>1.NP: Stěny</t>
  </si>
  <si>
    <t>1.NP: Podhledy</t>
  </si>
  <si>
    <t xml:space="preserve">Obklad stěn sádrokartonem na ocelovou konstrukci jednostranné bez izolace </t>
  </si>
  <si>
    <t>2.NP:Příčka 25cm</t>
  </si>
  <si>
    <t>2.NP:Příčka 10cm</t>
  </si>
  <si>
    <t>2.NP: Podhledy</t>
  </si>
  <si>
    <t>2.NP: Stěny</t>
  </si>
  <si>
    <t xml:space="preserve">Dodávka a montáž dveří vč. kování </t>
  </si>
  <si>
    <t>1. NP</t>
  </si>
  <si>
    <t>2. NP</t>
  </si>
  <si>
    <t>Podlaha 2.NP</t>
  </si>
  <si>
    <t xml:space="preserve">Deska Rigidur E25 - vč. montáže      </t>
  </si>
  <si>
    <t>Podlaha 1.NP</t>
  </si>
  <si>
    <t>Hobra 2x15 mm, včetně montáže</t>
  </si>
  <si>
    <t>Podlaha laminátová - dodávka + pokládka</t>
  </si>
  <si>
    <t>Dřevěné schody dle standardu stavby, včetně montáže</t>
  </si>
  <si>
    <t>Broušení a lištování trámů viditelných v interiéru</t>
  </si>
  <si>
    <t>Podhledy venkovní-obklad říms palubkou, nátěr Luxol 2x</t>
  </si>
  <si>
    <t>Skelet celkem</t>
  </si>
  <si>
    <t>Plášť + střecha</t>
  </si>
  <si>
    <t>Skelet</t>
  </si>
  <si>
    <t>Omítka (síťka,stěrka,penetrace,akrylátová omítka probarvená,obklad polystyren 3cm)</t>
  </si>
  <si>
    <t>Položkový rozpočet: systém s větranou štěrbinou</t>
  </si>
  <si>
    <t>C2 Výplně otvorů</t>
  </si>
  <si>
    <t>C1</t>
  </si>
  <si>
    <t>C2</t>
  </si>
  <si>
    <t>Desky OSB tl. 12 mm, dodávka + montáž</t>
  </si>
  <si>
    <t>Fólie paropropustná 135g/m2 - stěna, střecha, s montáží</t>
  </si>
  <si>
    <t>Deska beton 5 cm, podlaha 1.NP, doplňky, vč. montáže</t>
  </si>
  <si>
    <t>Latě, kontralatě, rošt obvodového pláště, včetně montáže</t>
  </si>
  <si>
    <t>Konstrukce - včetně montáže</t>
  </si>
  <si>
    <t>Vnější parapety včetně montáže</t>
  </si>
  <si>
    <t>Vnitřní parapety včetně montáže</t>
  </si>
  <si>
    <t>Vchodové dveře plastové (90/210) včetně montáže</t>
  </si>
  <si>
    <t>Obslužné okno KM BETA včetně montáže</t>
  </si>
  <si>
    <t>Obvod. plášť</t>
  </si>
  <si>
    <t xml:space="preserve">Izolace polystyren 120mm - vč. montáže               </t>
  </si>
  <si>
    <t>Zařizovací předměty 1.NP dle standardu</t>
  </si>
  <si>
    <t>Zařizovací předměty 2.NP dle standardu</t>
  </si>
  <si>
    <t>Ostatní práce zednické - usazení vany, ostatní</t>
  </si>
  <si>
    <t>Hydroizolační stěrka, penetrační nátěr</t>
  </si>
  <si>
    <t>Obklady-montážní materiál,lepidla,lišty</t>
  </si>
  <si>
    <t>koupelny, wc</t>
  </si>
  <si>
    <t>www.refiz.cz</t>
  </si>
  <si>
    <t xml:space="preserve">Ceny použitých stavebních materiálů je možno upravit do rozpočtu při prokazatelném zvýšení těchto cen v době </t>
  </si>
  <si>
    <t>strop 1</t>
  </si>
  <si>
    <t>stěny 1</t>
  </si>
  <si>
    <t>stěny 2</t>
  </si>
  <si>
    <t>stěny1+strop</t>
  </si>
  <si>
    <t>Strop bungalov</t>
  </si>
  <si>
    <t>Strop dvoup.RD</t>
  </si>
  <si>
    <t>Šikminy,strop 2.NP</t>
  </si>
  <si>
    <t>Isover Domo 100 mm, vč. montáže</t>
  </si>
  <si>
    <t>Příčky 250 mm</t>
  </si>
  <si>
    <t>Příčky 100 mm</t>
  </si>
  <si>
    <t>Isover Domo 80 mm, vč. Montáže</t>
  </si>
  <si>
    <t>Sádrokartonová ocel.konstrukce, 2x oplášťění tl.250 mm
desky standard 12,5mm</t>
  </si>
  <si>
    <t>Sádrokartonová ocel.konstrukce, 2x oplášť. tl.100 mm
desky standard 12,5mm</t>
  </si>
  <si>
    <t>Podhled sádrokartonový na zavěšenou ocel. konstrukci
desky standard 12,5mm</t>
  </si>
  <si>
    <t>Dlažba keramická - pokládka</t>
  </si>
  <si>
    <t>Dlažba keramická - dodávka (5% prořez)</t>
  </si>
  <si>
    <t>Obklady keramické - pokládka</t>
  </si>
  <si>
    <t>Obklady keramické - dodávka (5% prořez)</t>
  </si>
  <si>
    <t>koupelna</t>
  </si>
  <si>
    <t>Podhledy</t>
  </si>
  <si>
    <t>Kostra - doplňkové konstrukce+výplně</t>
  </si>
  <si>
    <t>Skládací půdní schody Fakro LWS 60x100, včetně montáže</t>
  </si>
  <si>
    <t>Vnitřní dveře – Garant, plné, dekor buk nebo dub, obložková zárubeň, klika Monte</t>
  </si>
  <si>
    <t>cena bez DPH</t>
  </si>
  <si>
    <t>cena s 15% DPH</t>
  </si>
  <si>
    <t>Ultrahrubá</t>
  </si>
  <si>
    <t>Hrubá</t>
  </si>
  <si>
    <t>Na klíč</t>
  </si>
  <si>
    <t>Umývátko</t>
  </si>
  <si>
    <t>práce</t>
  </si>
  <si>
    <t>Umyvadlo</t>
  </si>
  <si>
    <t>WC</t>
  </si>
  <si>
    <t>Vana</t>
  </si>
  <si>
    <t>Sprcha</t>
  </si>
  <si>
    <t>1.NP</t>
  </si>
  <si>
    <t>2.NP</t>
  </si>
  <si>
    <t>Isover Uni 140 mm + 50 mm + 50 mm, vč. montáže</t>
  </si>
  <si>
    <t>Isover Domo 140 mm + 50 mm + 50 mm, vč. montáže</t>
  </si>
  <si>
    <t>CW profil</t>
  </si>
  <si>
    <t>OSB 12 mm, tř. 3 </t>
  </si>
  <si>
    <t>Nejméně lze dodat ultrahrubou stavbu - položky 2-13</t>
  </si>
  <si>
    <t>1. Stěny vnější 360mm</t>
  </si>
  <si>
    <t>zhotovení sádrokart. konstrukcí</t>
  </si>
  <si>
    <t>Pokrývač</t>
  </si>
  <si>
    <t>Mirek Hakl</t>
  </si>
  <si>
    <t xml:space="preserve">montaž folie a </t>
  </si>
  <si>
    <t>montaž latí, kontralatí</t>
  </si>
  <si>
    <t>montáž tašek</t>
  </si>
  <si>
    <t>montáž Velux</t>
  </si>
  <si>
    <t>montáž výlezu</t>
  </si>
  <si>
    <t>m.těsnění hřebene</t>
  </si>
  <si>
    <t>bm</t>
  </si>
  <si>
    <t>m.hřebene</t>
  </si>
  <si>
    <t>m.těsnění okapu</t>
  </si>
  <si>
    <t>boční plech PZ</t>
  </si>
  <si>
    <t>závětrná lišta Pz</t>
  </si>
  <si>
    <t>montáž žlabů</t>
  </si>
  <si>
    <t>Rezerva</t>
  </si>
  <si>
    <t>mobil</t>
  </si>
  <si>
    <t>m. těsnění proti ptákům</t>
  </si>
  <si>
    <t>Cena celkem odshora</t>
  </si>
  <si>
    <t>Střecha bungalov</t>
  </si>
  <si>
    <t>Samont SDK</t>
  </si>
  <si>
    <t>El. ohřívač vody zásobníkový, Ariston PRO ER 120 V-2K</t>
  </si>
  <si>
    <t>Zdroj</t>
  </si>
  <si>
    <t>Folie Dekplan X76 na záklopu OSB - pochozí, dod.+montáž</t>
  </si>
  <si>
    <t>Folie Dekplan X76 na záklopu OSB, dodávka + montáž</t>
  </si>
  <si>
    <t>Q</t>
  </si>
  <si>
    <t>Přípojky</t>
  </si>
  <si>
    <t>Kompletní skelet domu s omítkou, střešní krytinou, klempířské prvky, plastová okna, vchodové dveře, garážová vrata.</t>
  </si>
  <si>
    <t>Ultrahrubá s provedením izolací, rozvodů vody, kanalizace, el. energ., topení, sádrokartonové konstrukce, bez maleb a podlah.</t>
  </si>
  <si>
    <t>Eurookna (smrk,lazura třešeň)</t>
  </si>
  <si>
    <t>Klempíři: žlaby, odpadní trouby, oplechování, svody - poplastovaný hliník</t>
  </si>
  <si>
    <t>Základová deska, výška 15 cm nad úrovní terénu</t>
  </si>
  <si>
    <t>Balkon, zábradlí</t>
  </si>
  <si>
    <t>Střešní krytina plechová SPEKTRUM</t>
  </si>
  <si>
    <t>Podlahové topení: elektrické rohože LD 1NP</t>
  </si>
  <si>
    <t>m2 užitné plochy</t>
  </si>
  <si>
    <t>Kč/m2</t>
  </si>
  <si>
    <t>když je potřeba, +/-</t>
  </si>
  <si>
    <t>Fólie parotěsná Lifol Tec reflex 1s - stěny, půlštoky, štíty, s montáží</t>
  </si>
  <si>
    <t>Karisíť</t>
  </si>
  <si>
    <t>Martina Zapletalová</t>
  </si>
  <si>
    <t>Zapletalová</t>
  </si>
  <si>
    <t>lávka - 2NP</t>
  </si>
  <si>
    <t>Strop 1. NP / OSB perodrážka- 25 mm / strop 2NP</t>
  </si>
  <si>
    <r>
      <rPr>
        <b/>
        <sz val="12"/>
        <color indexed="60"/>
        <rFont val="Times New Roman"/>
        <family val="1"/>
        <charset val="238"/>
      </rPr>
      <t>10</t>
    </r>
    <r>
      <rPr>
        <sz val="12"/>
        <color indexed="8"/>
        <rFont val="Times New Roman"/>
        <family val="1"/>
        <charset val="238"/>
      </rPr>
      <t>.  Přípojky jsou kalkulovány bez revizních šachet a rozvodných skříní.</t>
    </r>
  </si>
  <si>
    <t>rovinnost se řídí dle technického listu firmy RIGIPS - standartní provedení:</t>
  </si>
  <si>
    <t> http://www.rigips.cz/files/techonologie/TI_131106_Rovinnost_konstrukci_Q.pdf</t>
  </si>
  <si>
    <t>Kanalizace - h: 1,5 m</t>
  </si>
  <si>
    <t>Plynová přípojka h: 1,5 m</t>
  </si>
  <si>
    <t>Vodovodní přípojka h: 1,2 m</t>
  </si>
  <si>
    <t>Přípojka elektrické energie h: 1,2 m</t>
  </si>
  <si>
    <t>suterén, základová deska - výška od 0-15 cm</t>
  </si>
  <si>
    <t>Střešní krytina Terran synus - dodávka + montáž</t>
  </si>
  <si>
    <t>Okna VELUX GZL včetně montáže</t>
  </si>
  <si>
    <t>Jméno:</t>
  </si>
  <si>
    <t xml:space="preserve">kontakt: </t>
  </si>
  <si>
    <t>Zařizovací předměty (1NP, 2NP) dle standartu firmy Refiz + komletace (1NP, 2NP) umývatko, umyvadlo, záchod, sprchový kout, vana ( množství viz projekt)</t>
  </si>
  <si>
    <t>el. Přímotopy (1NP, 2NP) standart</t>
  </si>
  <si>
    <t>Železobetonová základová deska, základové pasy s nosnou základovou deskou vystuženou ocelovou sítí, a s konstrukční vrstvou z drceného kameniva. Rozvody odpadů, kanalizace,vody,el. energie.Hydroizolační folie proti vlhkosti.</t>
  </si>
  <si>
    <t xml:space="preserve">Nosný rám domu-dřevěné konstrukční hranoly spojené čepováním,vnitřní opláštění systém Rigips,trojitá minerální dělená tepelná izolace 24 cm , vnitřní parotěsná folie,vnější paropropustná folie,provětrávaná mezera,opláštění z OSB desek s kontaktním distančním systémem a tenkovrstvou omítkou.Okna plastová 6komora dvojsklo, střešní krytina betonová taška. </t>
  </si>
  <si>
    <t>Vytápení</t>
  </si>
  <si>
    <t>Zařicovací předměty</t>
  </si>
  <si>
    <t>Interiérové vybavení</t>
  </si>
  <si>
    <t>DPH 15 %</t>
  </si>
  <si>
    <t>Cena za objekt celkem</t>
  </si>
  <si>
    <t>Rodinný dům - difůzně otevřený systém  - skladba</t>
  </si>
  <si>
    <t>22 let stavíme pro Vás rodinné domy, bez zálohových plateb</t>
  </si>
  <si>
    <t xml:space="preserve">Dlažba keramická + obklady ( 300 Kč /m2 - materiál, 300 Kč/m2 práce, , podlaha laminátová ( d+m 600 Kč/m2), interierové dveře (4700 Kč d + m),  dřevěné schody dle standardu stavby (d + m)65 000 Kč, skládací půdní schody ( 5050 Kč), garážová vrata ( 30 000 Kč) </t>
  </si>
  <si>
    <t>Vnitřní kanalizace+vodovod</t>
  </si>
  <si>
    <t>Ceny dle standardu firmy</t>
  </si>
  <si>
    <t>střešní latě dřevěné 40 x 50 mm</t>
  </si>
  <si>
    <t>50 mm izolace minerální</t>
  </si>
  <si>
    <t>0,03 mm fólie parotěsná  - N110 g/m2</t>
  </si>
  <si>
    <t>140 mm izolace minerální</t>
  </si>
  <si>
    <t>0,03 mm fólie paropropustná  135 g/m2</t>
  </si>
  <si>
    <t>zateplovací systém : fasádní polystyren dilatační 30 mm</t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</si>
  <si>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>80 mm izolace minerální</t>
    </r>
  </si>
  <si>
    <t>Okapové žlaby a svodové roury jsou z poplastovaný pozink plech, připojení na kanalizaci dešťovou není součástí dodávky.</t>
  </si>
  <si>
    <t>Střešní okna Velux</t>
  </si>
  <si>
    <t>Vchodové dveře a garážová vrata - L - okna., LOMAX.</t>
  </si>
  <si>
    <r>
      <t>Podkroví</t>
    </r>
    <r>
      <rPr>
        <sz val="12"/>
        <rFont val="Times New Roman"/>
        <family val="1"/>
        <charset val="238"/>
      </rPr>
      <t xml:space="preserve"> - záklop z OSB, izolace kročejová Hobra, sádrovláknitá deska Rigidur 2x 10 mm. </t>
    </r>
  </si>
  <si>
    <t>Petrák</t>
  </si>
  <si>
    <t>Jaroslav</t>
  </si>
  <si>
    <t>japetrak@ sezmam.cz</t>
  </si>
  <si>
    <t>Název objektu</t>
  </si>
  <si>
    <t>RD výsluní</t>
  </si>
  <si>
    <t>Režie</t>
  </si>
  <si>
    <t>Cena materiál</t>
  </si>
  <si>
    <t>Plastová bílá, 6-ti komorová, trojsklo, včetně montáže</t>
  </si>
  <si>
    <t>Celkové náklady</t>
  </si>
  <si>
    <t>L-okna</t>
  </si>
  <si>
    <t>velux</t>
  </si>
  <si>
    <t>Náklady stavby</t>
  </si>
  <si>
    <t>cena</t>
  </si>
  <si>
    <t xml:space="preserve">Latě </t>
  </si>
  <si>
    <t>Opláštění</t>
  </si>
  <si>
    <t>Palubky</t>
  </si>
  <si>
    <t>SK obvod</t>
  </si>
  <si>
    <t>SK příčky</t>
  </si>
  <si>
    <t>Rozdíl</t>
  </si>
  <si>
    <t>Podlaha</t>
  </si>
  <si>
    <t>Podlahové topení 1NP -vodní</t>
  </si>
  <si>
    <t>Podlahové topení 2NP -vodní</t>
  </si>
  <si>
    <r>
      <t>Keramické obklady stěn a dlažby v ceně 300 Kč/m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včetně podružného materiálu.</t>
    </r>
  </si>
  <si>
    <t>Plastová okna 6-ti komorová, barva bílá, bez dekoru, trojsklo čiré k 1,1  bez mřížek, celoobvodové kování. Bližší specifikace - rozpočet.</t>
  </si>
  <si>
    <t>režie 8%</t>
  </si>
  <si>
    <t>Střešní krytina - betonová taška Terran synus , (Betonpres), v základní ceně s doplňky pro úžlabí, nároží, hřeben, větrací elementy. Ostatní doplňky nejsou obsaženy v ceně. Kontralatě, střešní latě, střešní folie - 0,03 mm pro větranou konstrukci. Hromosvod není v ceně.</t>
  </si>
  <si>
    <t>tel: 604817595</t>
  </si>
  <si>
    <t>Omítka (síťka,stěrka,penetrace,akrylátová omítka probarvená,obklad polystyren 12cm)</t>
  </si>
  <si>
    <t>standardní provedení- difuzně uzavřený systém</t>
  </si>
  <si>
    <t>Rozpočet- difuzně uzavřený systém</t>
  </si>
  <si>
    <t>Položkový rozpočet: difuzně uzavřený systém</t>
  </si>
  <si>
    <t>Deska beton/ anhydrid 5 cm, podlaha 1.NP,</t>
  </si>
  <si>
    <t xml:space="preserve">Deska Rigidur E25 - vč. montáže   /anhydrid  </t>
  </si>
  <si>
    <t>Hobra 2x15 mm, včetně montáže /anhydrid</t>
  </si>
  <si>
    <t>Desky OSB tl. 15 mm, dodávka + montáž</t>
  </si>
  <si>
    <t>Isover Uni 160 mm, vč. montáže</t>
  </si>
  <si>
    <t>Ceny jsou stanoveny k 1.8.2021</t>
  </si>
  <si>
    <t>2x2+ KK</t>
  </si>
  <si>
    <t>Dřevostavby Refiz s.r.o.</t>
  </si>
  <si>
    <t>Isover Domo 140 mm +100 mm + 80 mm, vč. montáže</t>
  </si>
  <si>
    <t>Isover Domo 140 mm + 100 mm + 80 mm, vč. montáže</t>
  </si>
  <si>
    <t>Ceny stavebních materiálů jsou kalkulovány k datu 1.1.2022. Prípadné změny cen budou aktualizovány.</t>
  </si>
</sst>
</file>

<file path=xl/styles.xml><?xml version="1.0" encoding="utf-8"?>
<styleSheet xmlns="http://schemas.openxmlformats.org/spreadsheetml/2006/main">
  <numFmts count="10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"/>
    <numFmt numFmtId="165" formatCode="#,##0\ &quot;Kč&quot;"/>
    <numFmt numFmtId="166" formatCode="dd/mm/yy"/>
    <numFmt numFmtId="167" formatCode="#,##0.00\ &quot;Kč&quot;"/>
    <numFmt numFmtId="168" formatCode="#,##0_ ;\-#,##0\ "/>
    <numFmt numFmtId="169" formatCode="0.0000"/>
    <numFmt numFmtId="170" formatCode="#,##0\ _K_č"/>
    <numFmt numFmtId="171" formatCode="0.0%"/>
  </numFmts>
  <fonts count="72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u/>
      <sz val="10"/>
      <color indexed="12"/>
      <name val="Arial CE"/>
      <charset val="238"/>
    </font>
    <font>
      <b/>
      <i/>
      <u/>
      <sz val="10"/>
      <name val="Arial CE"/>
      <family val="2"/>
      <charset val="238"/>
    </font>
    <font>
      <sz val="8"/>
      <name val="Arial CE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i/>
      <sz val="10"/>
      <name val="Arial CE"/>
    </font>
    <font>
      <b/>
      <sz val="10"/>
      <name val="Arial CE"/>
    </font>
    <font>
      <b/>
      <sz val="14"/>
      <name val="Arial CE"/>
      <charset val="238"/>
    </font>
    <font>
      <b/>
      <sz val="26"/>
      <color indexed="10"/>
      <name val="Times New Roman"/>
      <family val="1"/>
      <charset val="238"/>
    </font>
    <font>
      <b/>
      <i/>
      <sz val="26"/>
      <color indexed="13"/>
      <name val="Garamond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3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3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2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Wingdings"/>
      <charset val="2"/>
    </font>
    <font>
      <sz val="7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3.5"/>
      <color indexed="56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53"/>
      <name val="Arial CE"/>
      <charset val="238"/>
    </font>
    <font>
      <b/>
      <sz val="14"/>
      <color indexed="10"/>
      <name val="Arial CE"/>
      <charset val="238"/>
    </font>
    <font>
      <b/>
      <sz val="13.5"/>
      <color indexed="49"/>
      <name val="Times New Roman"/>
      <family val="1"/>
      <charset val="238"/>
    </font>
    <font>
      <b/>
      <sz val="13.5"/>
      <color indexed="52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956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5" fillId="2" borderId="4" xfId="0" applyNumberFormat="1" applyFont="1" applyFill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3" fontId="0" fillId="0" borderId="0" xfId="0" applyNumberFormat="1"/>
    <xf numFmtId="0" fontId="8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Continuous"/>
    </xf>
    <xf numFmtId="0" fontId="8" fillId="0" borderId="17" xfId="0" applyFont="1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9" xfId="0" applyBorder="1"/>
    <xf numFmtId="0" fontId="0" fillId="0" borderId="20" xfId="0" applyBorder="1"/>
    <xf numFmtId="3" fontId="0" fillId="0" borderId="21" xfId="0" applyNumberFormat="1" applyBorder="1"/>
    <xf numFmtId="0" fontId="0" fillId="0" borderId="22" xfId="0" applyBorder="1"/>
    <xf numFmtId="3" fontId="0" fillId="0" borderId="23" xfId="0" applyNumberFormat="1" applyBorder="1"/>
    <xf numFmtId="0" fontId="0" fillId="0" borderId="24" xfId="0" applyBorder="1"/>
    <xf numFmtId="3" fontId="0" fillId="0" borderId="12" xfId="0" applyNumberFormat="1" applyBorder="1"/>
    <xf numFmtId="0" fontId="0" fillId="0" borderId="25" xfId="0" applyBorder="1"/>
    <xf numFmtId="0" fontId="0" fillId="0" borderId="26" xfId="0" applyBorder="1"/>
    <xf numFmtId="0" fontId="10" fillId="0" borderId="11" xfId="0" applyFont="1" applyBorder="1"/>
    <xf numFmtId="3" fontId="0" fillId="0" borderId="27" xfId="0" applyNumberFormat="1" applyBorder="1"/>
    <xf numFmtId="0" fontId="0" fillId="0" borderId="28" xfId="0" applyBorder="1"/>
    <xf numFmtId="166" fontId="0" fillId="0" borderId="0" xfId="0" applyNumberFormat="1" applyBorder="1"/>
    <xf numFmtId="164" fontId="0" fillId="0" borderId="9" xfId="0" applyNumberFormat="1" applyBorder="1" applyAlignment="1">
      <alignment horizontal="right"/>
    </xf>
    <xf numFmtId="165" fontId="0" fillId="0" borderId="12" xfId="0" applyNumberFormat="1" applyBorder="1"/>
    <xf numFmtId="165" fontId="0" fillId="0" borderId="0" xfId="0" applyNumberFormat="1" applyBorder="1"/>
    <xf numFmtId="0" fontId="9" fillId="0" borderId="0" xfId="0" applyFont="1"/>
    <xf numFmtId="0" fontId="0" fillId="0" borderId="0" xfId="0" applyAlignment="1">
      <alignment vertical="justify"/>
    </xf>
    <xf numFmtId="0" fontId="6" fillId="0" borderId="29" xfId="3" applyFont="1" applyBorder="1"/>
    <xf numFmtId="0" fontId="3" fillId="0" borderId="29" xfId="3" applyBorder="1"/>
    <xf numFmtId="0" fontId="6" fillId="0" borderId="30" xfId="3" applyFont="1" applyBorder="1"/>
    <xf numFmtId="0" fontId="3" fillId="0" borderId="30" xfId="3" applyBorder="1"/>
    <xf numFmtId="49" fontId="4" fillId="0" borderId="0" xfId="0" applyNumberFormat="1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49" fontId="8" fillId="3" borderId="16" xfId="0" applyNumberFormat="1" applyFont="1" applyFill="1" applyBorder="1"/>
    <xf numFmtId="0" fontId="8" fillId="3" borderId="17" xfId="0" applyFont="1" applyFill="1" applyBorder="1"/>
    <xf numFmtId="0" fontId="8" fillId="3" borderId="18" xfId="0" applyFont="1" applyFill="1" applyBorder="1"/>
    <xf numFmtId="0" fontId="8" fillId="3" borderId="31" xfId="0" applyFont="1" applyFill="1" applyBorder="1"/>
    <xf numFmtId="0" fontId="8" fillId="3" borderId="32" xfId="0" applyFont="1" applyFill="1" applyBorder="1"/>
    <xf numFmtId="0" fontId="12" fillId="0" borderId="0" xfId="0" applyFont="1" applyBorder="1"/>
    <xf numFmtId="3" fontId="10" fillId="0" borderId="5" xfId="0" applyNumberFormat="1" applyFont="1" applyBorder="1"/>
    <xf numFmtId="0" fontId="8" fillId="2" borderId="16" xfId="0" applyFont="1" applyFill="1" applyBorder="1"/>
    <xf numFmtId="0" fontId="8" fillId="2" borderId="17" xfId="0" applyFont="1" applyFill="1" applyBorder="1"/>
    <xf numFmtId="3" fontId="8" fillId="2" borderId="18" xfId="0" applyNumberFormat="1" applyFont="1" applyFill="1" applyBorder="1"/>
    <xf numFmtId="3" fontId="8" fillId="2" borderId="33" xfId="0" applyNumberFormat="1" applyFont="1" applyFill="1" applyBorder="1"/>
    <xf numFmtId="3" fontId="8" fillId="2" borderId="31" xfId="0" applyNumberFormat="1" applyFont="1" applyFill="1" applyBorder="1"/>
    <xf numFmtId="3" fontId="8" fillId="2" borderId="32" xfId="0" applyNumberFormat="1" applyFont="1" applyFill="1" applyBorder="1"/>
    <xf numFmtId="0" fontId="8" fillId="0" borderId="0" xfId="0" applyFont="1"/>
    <xf numFmtId="3" fontId="4" fillId="0" borderId="0" xfId="0" applyNumberFormat="1" applyFont="1" applyAlignment="1">
      <alignment horizontal="centerContinuous"/>
    </xf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3" fillId="0" borderId="0" xfId="3"/>
    <xf numFmtId="0" fontId="15" fillId="0" borderId="0" xfId="3" applyFont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2" fillId="0" borderId="34" xfId="3" applyFont="1" applyBorder="1" applyAlignment="1">
      <alignment horizontal="right"/>
    </xf>
    <xf numFmtId="0" fontId="3" fillId="0" borderId="29" xfId="3" applyBorder="1" applyAlignment="1">
      <alignment horizontal="left"/>
    </xf>
    <xf numFmtId="0" fontId="3" fillId="0" borderId="35" xfId="3" applyBorder="1"/>
    <xf numFmtId="0" fontId="12" fillId="0" borderId="0" xfId="3" applyFont="1"/>
    <xf numFmtId="0" fontId="3" fillId="0" borderId="0" xfId="3" applyFont="1"/>
    <xf numFmtId="0" fontId="3" fillId="0" borderId="0" xfId="3" applyAlignment="1">
      <alignment horizontal="right"/>
    </xf>
    <xf numFmtId="0" fontId="3" fillId="0" borderId="0" xfId="3" applyAlignment="1"/>
    <xf numFmtId="0" fontId="3" fillId="0" borderId="0" xfId="3" applyNumberFormat="1"/>
    <xf numFmtId="0" fontId="18" fillId="0" borderId="0" xfId="3" applyFont="1"/>
    <xf numFmtId="3" fontId="3" fillId="0" borderId="0" xfId="3" applyNumberFormat="1"/>
    <xf numFmtId="0" fontId="3" fillId="0" borderId="0" xfId="3" applyBorder="1"/>
    <xf numFmtId="0" fontId="20" fillId="0" borderId="0" xfId="3" applyFont="1" applyAlignment="1"/>
    <xf numFmtId="0" fontId="21" fillId="0" borderId="0" xfId="3" applyFont="1" applyBorder="1"/>
    <xf numFmtId="3" fontId="21" fillId="0" borderId="0" xfId="3" applyNumberFormat="1" applyFont="1" applyBorder="1" applyAlignment="1">
      <alignment horizontal="right"/>
    </xf>
    <xf numFmtId="4" fontId="21" fillId="0" borderId="0" xfId="3" applyNumberFormat="1" applyFont="1" applyBorder="1"/>
    <xf numFmtId="0" fontId="20" fillId="0" borderId="0" xfId="3" applyFont="1" applyBorder="1" applyAlignment="1"/>
    <xf numFmtId="0" fontId="3" fillId="0" borderId="0" xfId="3" applyBorder="1" applyAlignment="1">
      <alignment horizontal="right"/>
    </xf>
    <xf numFmtId="49" fontId="12" fillId="0" borderId="4" xfId="0" applyNumberFormat="1" applyFont="1" applyBorder="1"/>
    <xf numFmtId="3" fontId="10" fillId="0" borderId="36" xfId="0" applyNumberFormat="1" applyFont="1" applyBorder="1"/>
    <xf numFmtId="3" fontId="10" fillId="0" borderId="37" xfId="0" applyNumberFormat="1" applyFont="1" applyBorder="1"/>
    <xf numFmtId="0" fontId="19" fillId="0" borderId="0" xfId="3" applyFont="1" applyBorder="1"/>
    <xf numFmtId="0" fontId="3" fillId="0" borderId="0" xfId="3" applyFont="1" applyBorder="1"/>
    <xf numFmtId="49" fontId="12" fillId="0" borderId="4" xfId="0" applyNumberFormat="1" applyFont="1" applyBorder="1" applyProtection="1">
      <protection locked="0"/>
    </xf>
    <xf numFmtId="0" fontId="25" fillId="0" borderId="0" xfId="0" applyFont="1"/>
    <xf numFmtId="0" fontId="26" fillId="0" borderId="0" xfId="0" applyFont="1"/>
    <xf numFmtId="0" fontId="26" fillId="0" borderId="16" xfId="0" applyFont="1" applyBorder="1"/>
    <xf numFmtId="0" fontId="26" fillId="0" borderId="17" xfId="0" applyFont="1" applyBorder="1"/>
    <xf numFmtId="0" fontId="26" fillId="0" borderId="18" xfId="0" applyFont="1" applyBorder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37" xfId="0" applyBorder="1"/>
    <xf numFmtId="0" fontId="10" fillId="0" borderId="37" xfId="0" applyFont="1" applyBorder="1"/>
    <xf numFmtId="1" fontId="28" fillId="0" borderId="15" xfId="0" applyNumberFormat="1" applyFont="1" applyBorder="1"/>
    <xf numFmtId="0" fontId="28" fillId="0" borderId="0" xfId="0" applyFont="1" applyBorder="1"/>
    <xf numFmtId="0" fontId="8" fillId="0" borderId="0" xfId="0" applyFont="1" applyBorder="1"/>
    <xf numFmtId="1" fontId="8" fillId="0" borderId="15" xfId="0" applyNumberFormat="1" applyFont="1" applyBorder="1"/>
    <xf numFmtId="0" fontId="3" fillId="0" borderId="29" xfId="3" applyFont="1" applyBorder="1" applyAlignment="1">
      <alignment horizontal="center"/>
    </xf>
    <xf numFmtId="0" fontId="3" fillId="0" borderId="30" xfId="3" applyFont="1" applyBorder="1" applyAlignment="1">
      <alignment horizontal="center"/>
    </xf>
    <xf numFmtId="0" fontId="2" fillId="0" borderId="0" xfId="0" applyFont="1"/>
    <xf numFmtId="0" fontId="1" fillId="0" borderId="38" xfId="0" applyFont="1" applyBorder="1"/>
    <xf numFmtId="0" fontId="0" fillId="0" borderId="38" xfId="0" applyBorder="1"/>
    <xf numFmtId="0" fontId="2" fillId="0" borderId="38" xfId="0" applyFont="1" applyBorder="1"/>
    <xf numFmtId="1" fontId="0" fillId="0" borderId="38" xfId="0" applyNumberFormat="1" applyBorder="1"/>
    <xf numFmtId="0" fontId="0" fillId="0" borderId="0" xfId="0" applyAlignment="1">
      <alignment horizontal="center"/>
    </xf>
    <xf numFmtId="0" fontId="29" fillId="4" borderId="16" xfId="0" applyFont="1" applyFill="1" applyBorder="1"/>
    <xf numFmtId="2" fontId="30" fillId="4" borderId="17" xfId="0" applyNumberFormat="1" applyFont="1" applyFill="1" applyBorder="1"/>
    <xf numFmtId="0" fontId="30" fillId="4" borderId="17" xfId="0" applyFont="1" applyFill="1" applyBorder="1"/>
    <xf numFmtId="0" fontId="30" fillId="4" borderId="18" xfId="0" applyFont="1" applyFill="1" applyBorder="1"/>
    <xf numFmtId="0" fontId="0" fillId="0" borderId="17" xfId="0" applyBorder="1"/>
    <xf numFmtId="0" fontId="29" fillId="5" borderId="16" xfId="0" applyFont="1" applyFill="1" applyBorder="1"/>
    <xf numFmtId="2" fontId="0" fillId="5" borderId="17" xfId="0" applyNumberFormat="1" applyFill="1" applyBorder="1"/>
    <xf numFmtId="0" fontId="0" fillId="5" borderId="17" xfId="0" applyFill="1" applyBorder="1"/>
    <xf numFmtId="0" fontId="29" fillId="5" borderId="17" xfId="0" applyFont="1" applyFill="1" applyBorder="1"/>
    <xf numFmtId="2" fontId="0" fillId="5" borderId="18" xfId="0" applyNumberFormat="1" applyFill="1" applyBorder="1"/>
    <xf numFmtId="0" fontId="29" fillId="6" borderId="16" xfId="0" applyFont="1" applyFill="1" applyBorder="1"/>
    <xf numFmtId="2" fontId="0" fillId="6" borderId="17" xfId="0" applyNumberFormat="1" applyFill="1" applyBorder="1"/>
    <xf numFmtId="0" fontId="0" fillId="6" borderId="17" xfId="0" applyFill="1" applyBorder="1"/>
    <xf numFmtId="0" fontId="29" fillId="6" borderId="17" xfId="0" applyFont="1" applyFill="1" applyBorder="1"/>
    <xf numFmtId="2" fontId="0" fillId="6" borderId="18" xfId="0" applyNumberFormat="1" applyFill="1" applyBorder="1"/>
    <xf numFmtId="0" fontId="29" fillId="7" borderId="16" xfId="0" applyFont="1" applyFill="1" applyBorder="1"/>
    <xf numFmtId="2" fontId="0" fillId="7" borderId="17" xfId="0" applyNumberFormat="1" applyFill="1" applyBorder="1"/>
    <xf numFmtId="0" fontId="0" fillId="7" borderId="17" xfId="0" applyFill="1" applyBorder="1"/>
    <xf numFmtId="2" fontId="0" fillId="7" borderId="18" xfId="0" applyNumberFormat="1" applyFill="1" applyBorder="1"/>
    <xf numFmtId="0" fontId="29" fillId="8" borderId="16" xfId="0" applyFont="1" applyFill="1" applyBorder="1"/>
    <xf numFmtId="2" fontId="0" fillId="8" borderId="17" xfId="0" applyNumberFormat="1" applyFill="1" applyBorder="1"/>
    <xf numFmtId="0" fontId="0" fillId="8" borderId="17" xfId="0" applyFill="1" applyBorder="1"/>
    <xf numFmtId="2" fontId="0" fillId="8" borderId="18" xfId="0" applyNumberFormat="1" applyFill="1" applyBorder="1"/>
    <xf numFmtId="0" fontId="0" fillId="0" borderId="18" xfId="0" applyBorder="1"/>
    <xf numFmtId="0" fontId="1" fillId="4" borderId="16" xfId="0" applyFont="1" applyFill="1" applyBorder="1"/>
    <xf numFmtId="2" fontId="0" fillId="4" borderId="17" xfId="0" applyNumberFormat="1" applyFill="1" applyBorder="1"/>
    <xf numFmtId="0" fontId="0" fillId="4" borderId="17" xfId="0" applyFill="1" applyBorder="1"/>
    <xf numFmtId="0" fontId="0" fillId="4" borderId="18" xfId="0" applyFill="1" applyBorder="1"/>
    <xf numFmtId="2" fontId="0" fillId="0" borderId="0" xfId="0" applyNumberFormat="1" applyBorder="1"/>
    <xf numFmtId="0" fontId="1" fillId="0" borderId="4" xfId="0" applyFont="1" applyBorder="1"/>
    <xf numFmtId="0" fontId="1" fillId="0" borderId="0" xfId="0" applyFont="1" applyBorder="1"/>
    <xf numFmtId="2" fontId="0" fillId="0" borderId="5" xfId="0" applyNumberFormat="1" applyBorder="1"/>
    <xf numFmtId="0" fontId="2" fillId="0" borderId="4" xfId="0" applyFont="1" applyBorder="1"/>
    <xf numFmtId="0" fontId="2" fillId="0" borderId="0" xfId="0" applyFont="1" applyBorder="1"/>
    <xf numFmtId="0" fontId="29" fillId="0" borderId="4" xfId="0" applyFont="1" applyBorder="1"/>
    <xf numFmtId="0" fontId="29" fillId="0" borderId="0" xfId="0" applyFont="1" applyBorder="1"/>
    <xf numFmtId="0" fontId="0" fillId="0" borderId="39" xfId="0" applyBorder="1"/>
    <xf numFmtId="2" fontId="0" fillId="0" borderId="40" xfId="0" applyNumberFormat="1" applyBorder="1"/>
    <xf numFmtId="0" fontId="0" fillId="0" borderId="40" xfId="0" applyBorder="1"/>
    <xf numFmtId="0" fontId="0" fillId="0" borderId="41" xfId="0" applyBorder="1"/>
    <xf numFmtId="0" fontId="1" fillId="9" borderId="16" xfId="0" applyFont="1" applyFill="1" applyBorder="1"/>
    <xf numFmtId="0" fontId="1" fillId="10" borderId="17" xfId="0" applyFont="1" applyFill="1" applyBorder="1"/>
    <xf numFmtId="0" fontId="0" fillId="10" borderId="17" xfId="0" applyFill="1" applyBorder="1"/>
    <xf numFmtId="2" fontId="1" fillId="0" borderId="0" xfId="0" applyNumberFormat="1" applyFont="1" applyBorder="1"/>
    <xf numFmtId="0" fontId="1" fillId="8" borderId="42" xfId="0" applyFont="1" applyFill="1" applyBorder="1"/>
    <xf numFmtId="0" fontId="1" fillId="11" borderId="42" xfId="0" applyFont="1" applyFill="1" applyBorder="1"/>
    <xf numFmtId="0" fontId="3" fillId="0" borderId="0" xfId="3" applyFill="1" applyBorder="1" applyAlignment="1">
      <alignment horizontal="center"/>
    </xf>
    <xf numFmtId="49" fontId="17" fillId="6" borderId="43" xfId="3" applyNumberFormat="1" applyFont="1" applyFill="1" applyBorder="1"/>
    <xf numFmtId="0" fontId="17" fillId="6" borderId="33" xfId="3" applyFont="1" applyFill="1" applyBorder="1" applyAlignment="1">
      <alignment horizontal="center"/>
    </xf>
    <xf numFmtId="0" fontId="17" fillId="6" borderId="33" xfId="3" applyNumberFormat="1" applyFont="1" applyFill="1" applyBorder="1" applyAlignment="1">
      <alignment horizontal="center"/>
    </xf>
    <xf numFmtId="0" fontId="17" fillId="6" borderId="32" xfId="3" applyFont="1" applyFill="1" applyBorder="1" applyAlignment="1">
      <alignment horizontal="center"/>
    </xf>
    <xf numFmtId="4" fontId="8" fillId="0" borderId="0" xfId="3" applyNumberFormat="1" applyFont="1" applyFill="1" applyBorder="1"/>
    <xf numFmtId="0" fontId="3" fillId="0" borderId="0" xfId="3" applyFill="1"/>
    <xf numFmtId="0" fontId="17" fillId="0" borderId="0" xfId="3" applyFont="1" applyFill="1" applyBorder="1" applyAlignment="1">
      <alignment horizontal="center"/>
    </xf>
    <xf numFmtId="49" fontId="17" fillId="0" borderId="0" xfId="3" applyNumberFormat="1" applyFont="1" applyFill="1" applyBorder="1"/>
    <xf numFmtId="0" fontId="17" fillId="0" borderId="0" xfId="3" applyNumberFormat="1" applyFont="1" applyFill="1" applyBorder="1" applyAlignment="1">
      <alignment horizontal="center"/>
    </xf>
    <xf numFmtId="0" fontId="0" fillId="0" borderId="0" xfId="0" applyFill="1"/>
    <xf numFmtId="3" fontId="0" fillId="0" borderId="44" xfId="0" applyNumberFormat="1" applyBorder="1"/>
    <xf numFmtId="0" fontId="1" fillId="8" borderId="43" xfId="0" applyFont="1" applyFill="1" applyBorder="1"/>
    <xf numFmtId="0" fontId="1" fillId="8" borderId="17" xfId="0" applyFont="1" applyFill="1" applyBorder="1"/>
    <xf numFmtId="3" fontId="1" fillId="8" borderId="32" xfId="0" applyNumberFormat="1" applyFont="1" applyFill="1" applyBorder="1"/>
    <xf numFmtId="4" fontId="3" fillId="0" borderId="0" xfId="3" applyNumberFormat="1" applyFill="1" applyBorder="1" applyAlignment="1">
      <alignment horizontal="right"/>
    </xf>
    <xf numFmtId="0" fontId="6" fillId="0" borderId="0" xfId="3" applyFont="1" applyFill="1" applyBorder="1"/>
    <xf numFmtId="49" fontId="6" fillId="0" borderId="0" xfId="3" applyNumberFormat="1" applyFont="1" applyFill="1" applyBorder="1" applyAlignment="1">
      <alignment horizontal="left"/>
    </xf>
    <xf numFmtId="4" fontId="8" fillId="0" borderId="0" xfId="3" applyNumberFormat="1" applyFont="1" applyFill="1" applyBorder="1" applyAlignment="1">
      <alignment horizontal="right"/>
    </xf>
    <xf numFmtId="0" fontId="23" fillId="0" borderId="0" xfId="3" applyFont="1" applyFill="1" applyBorder="1"/>
    <xf numFmtId="0" fontId="3" fillId="0" borderId="0" xfId="3" applyFont="1" applyFill="1" applyBorder="1" applyAlignment="1">
      <alignment horizontal="center"/>
    </xf>
    <xf numFmtId="49" fontId="31" fillId="0" borderId="0" xfId="3" applyNumberFormat="1" applyFont="1" applyFill="1" applyBorder="1" applyAlignment="1">
      <alignment horizontal="left"/>
    </xf>
    <xf numFmtId="0" fontId="31" fillId="0" borderId="0" xfId="3" applyFont="1" applyFill="1" applyBorder="1"/>
    <xf numFmtId="4" fontId="3" fillId="0" borderId="0" xfId="3" applyNumberFormat="1" applyFont="1" applyFill="1" applyBorder="1" applyAlignment="1">
      <alignment horizontal="right"/>
    </xf>
    <xf numFmtId="4" fontId="32" fillId="0" borderId="0" xfId="3" applyNumberFormat="1" applyFont="1" applyFill="1" applyBorder="1"/>
    <xf numFmtId="0" fontId="8" fillId="8" borderId="38" xfId="3" applyFont="1" applyFill="1" applyBorder="1" applyAlignment="1">
      <alignment horizontal="center"/>
    </xf>
    <xf numFmtId="49" fontId="8" fillId="8" borderId="38" xfId="3" applyNumberFormat="1" applyFont="1" applyFill="1" applyBorder="1" applyAlignment="1">
      <alignment horizontal="left"/>
    </xf>
    <xf numFmtId="0" fontId="8" fillId="8" borderId="38" xfId="3" applyFont="1" applyFill="1" applyBorder="1"/>
    <xf numFmtId="0" fontId="10" fillId="8" borderId="38" xfId="3" applyFont="1" applyFill="1" applyBorder="1" applyAlignment="1">
      <alignment horizontal="center"/>
    </xf>
    <xf numFmtId="0" fontId="10" fillId="8" borderId="38" xfId="3" applyNumberFormat="1" applyFont="1" applyFill="1" applyBorder="1" applyAlignment="1">
      <alignment horizontal="right"/>
    </xf>
    <xf numFmtId="0" fontId="10" fillId="8" borderId="38" xfId="3" applyNumberFormat="1" applyFont="1" applyFill="1" applyBorder="1"/>
    <xf numFmtId="0" fontId="10" fillId="0" borderId="38" xfId="3" applyFont="1" applyBorder="1" applyAlignment="1">
      <alignment horizontal="center" vertical="top"/>
    </xf>
    <xf numFmtId="49" fontId="11" fillId="0" borderId="38" xfId="3" applyNumberFormat="1" applyFont="1" applyBorder="1" applyAlignment="1">
      <alignment horizontal="left" vertical="top"/>
    </xf>
    <xf numFmtId="0" fontId="11" fillId="0" borderId="38" xfId="3" applyFont="1" applyBorder="1" applyAlignment="1">
      <alignment wrapText="1"/>
    </xf>
    <xf numFmtId="49" fontId="19" fillId="0" borderId="38" xfId="3" applyNumberFormat="1" applyFont="1" applyBorder="1" applyAlignment="1">
      <alignment horizontal="center" shrinkToFit="1"/>
    </xf>
    <xf numFmtId="4" fontId="19" fillId="0" borderId="38" xfId="3" applyNumberFormat="1" applyFont="1" applyFill="1" applyBorder="1" applyAlignment="1">
      <alignment horizontal="right"/>
    </xf>
    <xf numFmtId="4" fontId="19" fillId="0" borderId="38" xfId="3" applyNumberFormat="1" applyFont="1" applyBorder="1" applyAlignment="1">
      <alignment horizontal="right"/>
    </xf>
    <xf numFmtId="0" fontId="3" fillId="8" borderId="38" xfId="3" applyFill="1" applyBorder="1" applyAlignment="1">
      <alignment horizontal="center"/>
    </xf>
    <xf numFmtId="0" fontId="3" fillId="8" borderId="38" xfId="3" applyNumberFormat="1" applyFill="1" applyBorder="1" applyAlignment="1">
      <alignment horizontal="right"/>
    </xf>
    <xf numFmtId="0" fontId="3" fillId="8" borderId="38" xfId="3" applyNumberFormat="1" applyFill="1" applyBorder="1"/>
    <xf numFmtId="4" fontId="19" fillId="0" borderId="38" xfId="3" applyNumberFormat="1" applyFont="1" applyBorder="1"/>
    <xf numFmtId="0" fontId="10" fillId="12" borderId="38" xfId="3" applyFont="1" applyFill="1" applyBorder="1" applyAlignment="1">
      <alignment horizontal="center" vertical="top"/>
    </xf>
    <xf numFmtId="49" fontId="11" fillId="12" borderId="38" xfId="3" applyNumberFormat="1" applyFont="1" applyFill="1" applyBorder="1" applyAlignment="1">
      <alignment horizontal="left" vertical="top"/>
    </xf>
    <xf numFmtId="0" fontId="11" fillId="12" borderId="38" xfId="3" applyFont="1" applyFill="1" applyBorder="1" applyAlignment="1">
      <alignment wrapText="1"/>
    </xf>
    <xf numFmtId="49" fontId="19" fillId="12" borderId="38" xfId="3" applyNumberFormat="1" applyFont="1" applyFill="1" applyBorder="1" applyAlignment="1">
      <alignment horizontal="center" shrinkToFit="1"/>
    </xf>
    <xf numFmtId="4" fontId="19" fillId="12" borderId="38" xfId="3" applyNumberFormat="1" applyFont="1" applyFill="1" applyBorder="1" applyAlignment="1">
      <alignment horizontal="right"/>
    </xf>
    <xf numFmtId="4" fontId="19" fillId="12" borderId="38" xfId="3" applyNumberFormat="1" applyFont="1" applyFill="1" applyBorder="1"/>
    <xf numFmtId="0" fontId="24" fillId="0" borderId="38" xfId="0" applyFont="1" applyBorder="1"/>
    <xf numFmtId="0" fontId="11" fillId="0" borderId="38" xfId="3" applyFont="1" applyFill="1" applyBorder="1" applyAlignment="1">
      <alignment wrapText="1"/>
    </xf>
    <xf numFmtId="0" fontId="3" fillId="12" borderId="38" xfId="3" applyFill="1" applyBorder="1" applyAlignment="1">
      <alignment horizontal="center"/>
    </xf>
    <xf numFmtId="49" fontId="6" fillId="12" borderId="38" xfId="3" applyNumberFormat="1" applyFont="1" applyFill="1" applyBorder="1" applyAlignment="1">
      <alignment horizontal="left"/>
    </xf>
    <xf numFmtId="0" fontId="6" fillId="12" borderId="38" xfId="3" applyFont="1" applyFill="1" applyBorder="1"/>
    <xf numFmtId="4" fontId="3" fillId="12" borderId="38" xfId="3" applyNumberFormat="1" applyFill="1" applyBorder="1" applyAlignment="1">
      <alignment horizontal="right"/>
    </xf>
    <xf numFmtId="4" fontId="8" fillId="12" borderId="38" xfId="3" applyNumberFormat="1" applyFont="1" applyFill="1" applyBorder="1"/>
    <xf numFmtId="0" fontId="3" fillId="12" borderId="45" xfId="3" applyFont="1" applyFill="1" applyBorder="1" applyAlignment="1">
      <alignment horizontal="center"/>
    </xf>
    <xf numFmtId="49" fontId="31" fillId="12" borderId="46" xfId="3" applyNumberFormat="1" applyFont="1" applyFill="1" applyBorder="1" applyAlignment="1">
      <alignment horizontal="left"/>
    </xf>
    <xf numFmtId="0" fontId="31" fillId="12" borderId="46" xfId="3" applyFont="1" applyFill="1" applyBorder="1"/>
    <xf numFmtId="0" fontId="3" fillId="12" borderId="46" xfId="3" applyFont="1" applyFill="1" applyBorder="1" applyAlignment="1">
      <alignment horizontal="center"/>
    </xf>
    <xf numFmtId="4" fontId="3" fillId="12" borderId="46" xfId="3" applyNumberFormat="1" applyFont="1" applyFill="1" applyBorder="1" applyAlignment="1">
      <alignment horizontal="right"/>
    </xf>
    <xf numFmtId="4" fontId="32" fillId="12" borderId="47" xfId="3" applyNumberFormat="1" applyFont="1" applyFill="1" applyBorder="1"/>
    <xf numFmtId="3" fontId="0" fillId="0" borderId="8" xfId="0" applyNumberFormat="1" applyBorder="1"/>
    <xf numFmtId="4" fontId="12" fillId="0" borderId="38" xfId="0" applyNumberFormat="1" applyFont="1" applyBorder="1"/>
    <xf numFmtId="0" fontId="0" fillId="0" borderId="48" xfId="0" applyBorder="1"/>
    <xf numFmtId="0" fontId="0" fillId="0" borderId="49" xfId="0" applyBorder="1"/>
    <xf numFmtId="4" fontId="12" fillId="0" borderId="49" xfId="0" applyNumberFormat="1" applyFont="1" applyBorder="1"/>
    <xf numFmtId="4" fontId="0" fillId="0" borderId="50" xfId="0" applyNumberFormat="1" applyBorder="1"/>
    <xf numFmtId="0" fontId="0" fillId="0" borderId="51" xfId="0" applyBorder="1"/>
    <xf numFmtId="4" fontId="0" fillId="0" borderId="52" xfId="0" applyNumberFormat="1" applyBorder="1"/>
    <xf numFmtId="4" fontId="12" fillId="13" borderId="42" xfId="0" applyNumberFormat="1" applyFont="1" applyFill="1" applyBorder="1"/>
    <xf numFmtId="4" fontId="12" fillId="0" borderId="25" xfId="0" applyNumberFormat="1" applyFont="1" applyBorder="1"/>
    <xf numFmtId="0" fontId="0" fillId="0" borderId="53" xfId="0" applyBorder="1"/>
    <xf numFmtId="0" fontId="0" fillId="0" borderId="54" xfId="0" applyBorder="1"/>
    <xf numFmtId="4" fontId="12" fillId="0" borderId="54" xfId="0" applyNumberFormat="1" applyFont="1" applyBorder="1"/>
    <xf numFmtId="4" fontId="0" fillId="0" borderId="27" xfId="0" applyNumberFormat="1" applyBorder="1"/>
    <xf numFmtId="0" fontId="11" fillId="13" borderId="38" xfId="3" applyFont="1" applyFill="1" applyBorder="1" applyAlignment="1">
      <alignment wrapText="1"/>
    </xf>
    <xf numFmtId="0" fontId="0" fillId="0" borderId="13" xfId="0" applyBorder="1" applyAlignment="1"/>
    <xf numFmtId="0" fontId="0" fillId="0" borderId="13" xfId="0" applyBorder="1" applyAlignment="1">
      <alignment vertical="justify"/>
    </xf>
    <xf numFmtId="0" fontId="1" fillId="0" borderId="51" xfId="0" applyFont="1" applyBorder="1"/>
    <xf numFmtId="165" fontId="1" fillId="0" borderId="52" xfId="0" applyNumberFormat="1" applyFont="1" applyBorder="1"/>
    <xf numFmtId="0" fontId="1" fillId="0" borderId="53" xfId="0" applyFont="1" applyBorder="1"/>
    <xf numFmtId="0" fontId="1" fillId="0" borderId="54" xfId="0" applyFont="1" applyBorder="1"/>
    <xf numFmtId="1" fontId="1" fillId="0" borderId="54" xfId="0" applyNumberFormat="1" applyFont="1" applyBorder="1"/>
    <xf numFmtId="49" fontId="8" fillId="8" borderId="38" xfId="3" applyNumberFormat="1" applyFont="1" applyFill="1" applyBorder="1"/>
    <xf numFmtId="3" fontId="12" fillId="0" borderId="54" xfId="0" applyNumberFormat="1" applyFont="1" applyBorder="1"/>
    <xf numFmtId="0" fontId="33" fillId="0" borderId="0" xfId="0" applyFont="1" applyBorder="1"/>
    <xf numFmtId="3" fontId="12" fillId="0" borderId="0" xfId="0" applyNumberFormat="1" applyFont="1" applyBorder="1"/>
    <xf numFmtId="4" fontId="12" fillId="0" borderId="0" xfId="0" applyNumberFormat="1" applyFont="1" applyBorder="1"/>
    <xf numFmtId="4" fontId="0" fillId="0" borderId="0" xfId="0" applyNumberFormat="1" applyBorder="1"/>
    <xf numFmtId="0" fontId="0" fillId="0" borderId="55" xfId="0" applyBorder="1"/>
    <xf numFmtId="4" fontId="12" fillId="0" borderId="24" xfId="0" applyNumberFormat="1" applyFont="1" applyBorder="1"/>
    <xf numFmtId="3" fontId="12" fillId="8" borderId="42" xfId="0" applyNumberFormat="1" applyFont="1" applyFill="1" applyBorder="1"/>
    <xf numFmtId="3" fontId="12" fillId="0" borderId="37" xfId="0" applyNumberFormat="1" applyFont="1" applyBorder="1"/>
    <xf numFmtId="0" fontId="8" fillId="14" borderId="31" xfId="0" applyFont="1" applyFill="1" applyBorder="1"/>
    <xf numFmtId="3" fontId="10" fillId="0" borderId="0" xfId="0" applyNumberFormat="1" applyFont="1" applyBorder="1"/>
    <xf numFmtId="0" fontId="8" fillId="8" borderId="33" xfId="0" applyFont="1" applyFill="1" applyBorder="1"/>
    <xf numFmtId="3" fontId="10" fillId="8" borderId="56" xfId="0" applyNumberFormat="1" applyFont="1" applyFill="1" applyBorder="1"/>
    <xf numFmtId="3" fontId="10" fillId="8" borderId="57" xfId="0" applyNumberFormat="1" applyFont="1" applyFill="1" applyBorder="1"/>
    <xf numFmtId="3" fontId="10" fillId="8" borderId="58" xfId="0" applyNumberFormat="1" applyFont="1" applyFill="1" applyBorder="1"/>
    <xf numFmtId="2" fontId="1" fillId="0" borderId="5" xfId="0" applyNumberFormat="1" applyFont="1" applyBorder="1"/>
    <xf numFmtId="0" fontId="1" fillId="0" borderId="5" xfId="0" applyFont="1" applyBorder="1"/>
    <xf numFmtId="0" fontId="10" fillId="0" borderId="26" xfId="0" applyFont="1" applyFill="1" applyBorder="1"/>
    <xf numFmtId="0" fontId="10" fillId="0" borderId="20" xfId="0" applyFont="1" applyFill="1" applyBorder="1"/>
    <xf numFmtId="0" fontId="10" fillId="0" borderId="59" xfId="0" applyFont="1" applyFill="1" applyBorder="1"/>
    <xf numFmtId="3" fontId="10" fillId="0" borderId="60" xfId="0" applyNumberFormat="1" applyFont="1" applyFill="1" applyBorder="1" applyAlignment="1">
      <alignment horizontal="right"/>
    </xf>
    <xf numFmtId="164" fontId="10" fillId="0" borderId="38" xfId="0" applyNumberFormat="1" applyFont="1" applyFill="1" applyBorder="1" applyAlignment="1">
      <alignment horizontal="right"/>
    </xf>
    <xf numFmtId="3" fontId="10" fillId="0" borderId="61" xfId="0" applyNumberFormat="1" applyFont="1" applyFill="1" applyBorder="1" applyAlignment="1">
      <alignment horizontal="right"/>
    </xf>
    <xf numFmtId="0" fontId="0" fillId="0" borderId="62" xfId="0" applyFill="1" applyBorder="1"/>
    <xf numFmtId="0" fontId="8" fillId="0" borderId="63" xfId="0" applyFont="1" applyFill="1" applyBorder="1"/>
    <xf numFmtId="0" fontId="0" fillId="0" borderId="63" xfId="0" applyFill="1" applyBorder="1"/>
    <xf numFmtId="4" fontId="0" fillId="0" borderId="64" xfId="0" applyNumberFormat="1" applyFill="1" applyBorder="1"/>
    <xf numFmtId="4" fontId="0" fillId="0" borderId="62" xfId="0" applyNumberFormat="1" applyFill="1" applyBorder="1"/>
    <xf numFmtId="4" fontId="0" fillId="0" borderId="63" xfId="0" applyNumberFormat="1" applyFill="1" applyBorder="1"/>
    <xf numFmtId="0" fontId="0" fillId="0" borderId="2" xfId="0" applyFill="1" applyBorder="1"/>
    <xf numFmtId="0" fontId="6" fillId="0" borderId="0" xfId="0" applyFont="1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9" xfId="0" applyNumberFormat="1" applyFill="1" applyBorder="1"/>
    <xf numFmtId="0" fontId="0" fillId="0" borderId="8" xfId="0" applyNumberFormat="1" applyFill="1" applyBorder="1"/>
    <xf numFmtId="1" fontId="0" fillId="0" borderId="10" xfId="0" applyNumberFormat="1" applyFill="1" applyBorder="1"/>
    <xf numFmtId="0" fontId="0" fillId="0" borderId="15" xfId="0" applyFill="1" applyBorder="1"/>
    <xf numFmtId="3" fontId="12" fillId="12" borderId="42" xfId="0" applyNumberFormat="1" applyFont="1" applyFill="1" applyBorder="1"/>
    <xf numFmtId="0" fontId="0" fillId="12" borderId="43" xfId="0" applyFill="1" applyBorder="1"/>
    <xf numFmtId="0" fontId="0" fillId="12" borderId="17" xfId="0" applyFill="1" applyBorder="1"/>
    <xf numFmtId="3" fontId="0" fillId="12" borderId="32" xfId="0" applyNumberFormat="1" applyFill="1" applyBorder="1"/>
    <xf numFmtId="3" fontId="10" fillId="12" borderId="56" xfId="0" applyNumberFormat="1" applyFont="1" applyFill="1" applyBorder="1"/>
    <xf numFmtId="3" fontId="10" fillId="12" borderId="57" xfId="0" applyNumberFormat="1" applyFont="1" applyFill="1" applyBorder="1"/>
    <xf numFmtId="3" fontId="10" fillId="12" borderId="58" xfId="0" applyNumberFormat="1" applyFont="1" applyFill="1" applyBorder="1"/>
    <xf numFmtId="0" fontId="2" fillId="15" borderId="16" xfId="0" applyFont="1" applyFill="1" applyBorder="1"/>
    <xf numFmtId="3" fontId="2" fillId="15" borderId="17" xfId="0" applyNumberFormat="1" applyFont="1" applyFill="1" applyBorder="1"/>
    <xf numFmtId="0" fontId="2" fillId="15" borderId="33" xfId="0" applyFont="1" applyFill="1" applyBorder="1"/>
    <xf numFmtId="3" fontId="2" fillId="15" borderId="32" xfId="0" applyNumberFormat="1" applyFont="1" applyFill="1" applyBorder="1"/>
    <xf numFmtId="0" fontId="9" fillId="9" borderId="62" xfId="0" applyFont="1" applyFill="1" applyBorder="1"/>
    <xf numFmtId="0" fontId="9" fillId="9" borderId="63" xfId="0" applyFont="1" applyFill="1" applyBorder="1"/>
    <xf numFmtId="0" fontId="9" fillId="9" borderId="65" xfId="0" applyFont="1" applyFill="1" applyBorder="1"/>
    <xf numFmtId="165" fontId="9" fillId="9" borderId="63" xfId="0" applyNumberFormat="1" applyFont="1" applyFill="1" applyBorder="1"/>
    <xf numFmtId="49" fontId="6" fillId="8" borderId="38" xfId="3" applyNumberFormat="1" applyFont="1" applyFill="1" applyBorder="1" applyAlignment="1">
      <alignment horizontal="left"/>
    </xf>
    <xf numFmtId="0" fontId="6" fillId="8" borderId="38" xfId="3" applyFont="1" applyFill="1" applyBorder="1"/>
    <xf numFmtId="4" fontId="3" fillId="8" borderId="38" xfId="3" applyNumberFormat="1" applyFill="1" applyBorder="1" applyAlignment="1">
      <alignment horizontal="right"/>
    </xf>
    <xf numFmtId="4" fontId="8" fillId="8" borderId="38" xfId="3" applyNumberFormat="1" applyFont="1" applyFill="1" applyBorder="1" applyAlignment="1">
      <alignment horizontal="right"/>
    </xf>
    <xf numFmtId="4" fontId="8" fillId="8" borderId="38" xfId="3" applyNumberFormat="1" applyFont="1" applyFill="1" applyBorder="1"/>
    <xf numFmtId="0" fontId="3" fillId="12" borderId="16" xfId="3" applyFont="1" applyFill="1" applyBorder="1" applyAlignment="1">
      <alignment horizontal="center"/>
    </xf>
    <xf numFmtId="49" fontId="31" fillId="12" borderId="33" xfId="3" applyNumberFormat="1" applyFont="1" applyFill="1" applyBorder="1" applyAlignment="1">
      <alignment horizontal="left"/>
    </xf>
    <xf numFmtId="49" fontId="31" fillId="12" borderId="66" xfId="3" applyNumberFormat="1" applyFont="1" applyFill="1" applyBorder="1" applyAlignment="1">
      <alignment horizontal="left"/>
    </xf>
    <xf numFmtId="0" fontId="31" fillId="12" borderId="42" xfId="3" applyFont="1" applyFill="1" applyBorder="1"/>
    <xf numFmtId="0" fontId="3" fillId="12" borderId="17" xfId="3" applyFont="1" applyFill="1" applyBorder="1" applyAlignment="1">
      <alignment horizontal="center"/>
    </xf>
    <xf numFmtId="4" fontId="3" fillId="12" borderId="17" xfId="3" applyNumberFormat="1" applyFont="1" applyFill="1" applyBorder="1" applyAlignment="1">
      <alignment horizontal="right"/>
    </xf>
    <xf numFmtId="4" fontId="32" fillId="12" borderId="18" xfId="3" applyNumberFormat="1" applyFont="1" applyFill="1" applyBorder="1"/>
    <xf numFmtId="0" fontId="8" fillId="12" borderId="38" xfId="3" applyFont="1" applyFill="1" applyBorder="1" applyAlignment="1">
      <alignment horizontal="center"/>
    </xf>
    <xf numFmtId="49" fontId="8" fillId="12" borderId="38" xfId="3" applyNumberFormat="1" applyFont="1" applyFill="1" applyBorder="1" applyAlignment="1">
      <alignment horizontal="left"/>
    </xf>
    <xf numFmtId="49" fontId="8" fillId="12" borderId="38" xfId="3" applyNumberFormat="1" applyFont="1" applyFill="1" applyBorder="1"/>
    <xf numFmtId="0" fontId="3" fillId="12" borderId="38" xfId="3" applyNumberFormat="1" applyFill="1" applyBorder="1" applyAlignment="1">
      <alignment horizontal="right"/>
    </xf>
    <xf numFmtId="0" fontId="3" fillId="12" borderId="38" xfId="3" applyNumberFormat="1" applyFill="1" applyBorder="1"/>
    <xf numFmtId="4" fontId="12" fillId="0" borderId="25" xfId="0" applyNumberFormat="1" applyFont="1" applyFill="1" applyBorder="1"/>
    <xf numFmtId="0" fontId="1" fillId="0" borderId="0" xfId="0" applyFont="1" applyFill="1" applyBorder="1"/>
    <xf numFmtId="0" fontId="38" fillId="0" borderId="0" xfId="0" applyFont="1" applyBorder="1" applyAlignment="1">
      <alignment horizontal="left"/>
    </xf>
    <xf numFmtId="0" fontId="39" fillId="0" borderId="0" xfId="0" applyFont="1" applyBorder="1"/>
    <xf numFmtId="0" fontId="0" fillId="0" borderId="0" xfId="0" applyBorder="1" applyAlignment="1">
      <alignment horizontal="centerContinuous"/>
    </xf>
    <xf numFmtId="0" fontId="9" fillId="0" borderId="67" xfId="0" applyFont="1" applyBorder="1" applyAlignment="1">
      <alignment horizontal="centerContinuous" vertical="center"/>
    </xf>
    <xf numFmtId="0" fontId="0" fillId="0" borderId="67" xfId="0" applyBorder="1" applyAlignment="1">
      <alignment horizontal="centerContinuous" vertical="center"/>
    </xf>
    <xf numFmtId="49" fontId="0" fillId="0" borderId="19" xfId="0" applyNumberFormat="1" applyFill="1" applyBorder="1"/>
    <xf numFmtId="0" fontId="0" fillId="0" borderId="68" xfId="0" applyFill="1" applyBorder="1"/>
    <xf numFmtId="0" fontId="0" fillId="0" borderId="6" xfId="0" applyFill="1" applyBorder="1"/>
    <xf numFmtId="0" fontId="0" fillId="0" borderId="4" xfId="0" applyFill="1" applyBorder="1"/>
    <xf numFmtId="0" fontId="0" fillId="0" borderId="39" xfId="0" applyFill="1" applyBorder="1"/>
    <xf numFmtId="0" fontId="0" fillId="0" borderId="40" xfId="0" applyFill="1" applyBorder="1"/>
    <xf numFmtId="0" fontId="4" fillId="0" borderId="69" xfId="0" applyFont="1" applyBorder="1" applyAlignment="1">
      <alignment horizontal="centerContinuous" vertical="center"/>
    </xf>
    <xf numFmtId="0" fontId="0" fillId="0" borderId="70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71" xfId="0" applyBorder="1"/>
    <xf numFmtId="0" fontId="0" fillId="0" borderId="23" xfId="0" applyBorder="1"/>
    <xf numFmtId="3" fontId="0" fillId="0" borderId="50" xfId="0" applyNumberFormat="1" applyBorder="1"/>
    <xf numFmtId="0" fontId="1" fillId="0" borderId="48" xfId="0" applyFont="1" applyBorder="1" applyAlignment="1"/>
    <xf numFmtId="49" fontId="11" fillId="12" borderId="38" xfId="3" applyNumberFormat="1" applyFont="1" applyFill="1" applyBorder="1" applyAlignment="1">
      <alignment horizontal="center" shrinkToFit="1"/>
    </xf>
    <xf numFmtId="4" fontId="11" fillId="12" borderId="38" xfId="3" applyNumberFormat="1" applyFont="1" applyFill="1" applyBorder="1" applyAlignment="1">
      <alignment horizontal="right"/>
    </xf>
    <xf numFmtId="4" fontId="11" fillId="12" borderId="38" xfId="3" applyNumberFormat="1" applyFont="1" applyFill="1" applyBorder="1"/>
    <xf numFmtId="0" fontId="24" fillId="0" borderId="51" xfId="0" applyFont="1" applyBorder="1"/>
    <xf numFmtId="0" fontId="24" fillId="0" borderId="72" xfId="0" applyFont="1" applyBorder="1"/>
    <xf numFmtId="3" fontId="24" fillId="0" borderId="37" xfId="0" applyNumberFormat="1" applyFont="1" applyBorder="1"/>
    <xf numFmtId="4" fontId="24" fillId="0" borderId="72" xfId="0" applyNumberFormat="1" applyFont="1" applyBorder="1"/>
    <xf numFmtId="4" fontId="24" fillId="0" borderId="38" xfId="0" applyNumberFormat="1" applyFont="1" applyBorder="1"/>
    <xf numFmtId="4" fontId="24" fillId="0" borderId="52" xfId="0" applyNumberFormat="1" applyFont="1" applyBorder="1"/>
    <xf numFmtId="0" fontId="1" fillId="0" borderId="22" xfId="0" applyFont="1" applyFill="1" applyBorder="1"/>
    <xf numFmtId="0" fontId="1" fillId="0" borderId="23" xfId="0" applyFont="1" applyFill="1" applyBorder="1"/>
    <xf numFmtId="0" fontId="0" fillId="0" borderId="73" xfId="0" applyFill="1" applyBorder="1"/>
    <xf numFmtId="0" fontId="1" fillId="0" borderId="48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center"/>
    </xf>
    <xf numFmtId="4" fontId="13" fillId="0" borderId="23" xfId="0" applyNumberFormat="1" applyFont="1" applyFill="1" applyBorder="1" applyAlignment="1">
      <alignment horizontal="right"/>
    </xf>
    <xf numFmtId="4" fontId="13" fillId="0" borderId="73" xfId="0" applyNumberFormat="1" applyFont="1" applyFill="1" applyBorder="1" applyAlignment="1">
      <alignment horizontal="right"/>
    </xf>
    <xf numFmtId="4" fontId="10" fillId="0" borderId="20" xfId="0" applyNumberFormat="1" applyFont="1" applyFill="1" applyBorder="1" applyAlignment="1">
      <alignment horizontal="right"/>
    </xf>
    <xf numFmtId="3" fontId="10" fillId="0" borderId="59" xfId="0" applyNumberFormat="1" applyFont="1" applyFill="1" applyBorder="1" applyAlignment="1">
      <alignment horizontal="right"/>
    </xf>
    <xf numFmtId="10" fontId="3" fillId="0" borderId="0" xfId="3" applyNumberFormat="1"/>
    <xf numFmtId="4" fontId="3" fillId="0" borderId="0" xfId="3" applyNumberFormat="1"/>
    <xf numFmtId="0" fontId="0" fillId="11" borderId="43" xfId="0" applyFill="1" applyBorder="1"/>
    <xf numFmtId="0" fontId="0" fillId="11" borderId="31" xfId="0" applyFill="1" applyBorder="1"/>
    <xf numFmtId="0" fontId="0" fillId="0" borderId="74" xfId="0" applyBorder="1"/>
    <xf numFmtId="0" fontId="0" fillId="0" borderId="21" xfId="0" applyBorder="1"/>
    <xf numFmtId="14" fontId="0" fillId="0" borderId="38" xfId="0" applyNumberFormat="1" applyBorder="1"/>
    <xf numFmtId="0" fontId="0" fillId="16" borderId="38" xfId="0" applyFill="1" applyBorder="1"/>
    <xf numFmtId="0" fontId="0" fillId="0" borderId="52" xfId="0" applyBorder="1"/>
    <xf numFmtId="0" fontId="0" fillId="0" borderId="27" xfId="0" applyBorder="1"/>
    <xf numFmtId="0" fontId="0" fillId="6" borderId="31" xfId="0" applyFill="1" applyBorder="1"/>
    <xf numFmtId="49" fontId="0" fillId="16" borderId="31" xfId="0" applyNumberFormat="1" applyFill="1" applyBorder="1"/>
    <xf numFmtId="0" fontId="0" fillId="16" borderId="32" xfId="0" applyFill="1" applyBorder="1"/>
    <xf numFmtId="14" fontId="0" fillId="0" borderId="74" xfId="0" applyNumberFormat="1" applyBorder="1"/>
    <xf numFmtId="14" fontId="0" fillId="16" borderId="38" xfId="0" applyNumberFormat="1" applyFill="1" applyBorder="1"/>
    <xf numFmtId="14" fontId="0" fillId="0" borderId="54" xfId="0" applyNumberFormat="1" applyBorder="1"/>
    <xf numFmtId="0" fontId="8" fillId="0" borderId="37" xfId="0" applyFont="1" applyFill="1" applyBorder="1"/>
    <xf numFmtId="0" fontId="8" fillId="0" borderId="44" xfId="0" applyFont="1" applyFill="1" applyBorder="1"/>
    <xf numFmtId="49" fontId="2" fillId="0" borderId="4" xfId="0" applyNumberFormat="1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4" fontId="2" fillId="0" borderId="2" xfId="0" applyNumberFormat="1" applyFont="1" applyFill="1" applyBorder="1"/>
    <xf numFmtId="3" fontId="1" fillId="0" borderId="38" xfId="0" applyNumberFormat="1" applyFont="1" applyBorder="1"/>
    <xf numFmtId="1" fontId="1" fillId="0" borderId="38" xfId="0" applyNumberFormat="1" applyFont="1" applyBorder="1"/>
    <xf numFmtId="1" fontId="0" fillId="0" borderId="0" xfId="0" applyNumberFormat="1" applyBorder="1"/>
    <xf numFmtId="2" fontId="2" fillId="0" borderId="0" xfId="0" applyNumberFormat="1" applyFont="1" applyBorder="1"/>
    <xf numFmtId="0" fontId="1" fillId="0" borderId="16" xfId="0" applyFont="1" applyFill="1" applyBorder="1"/>
    <xf numFmtId="0" fontId="0" fillId="0" borderId="17" xfId="0" applyFill="1" applyBorder="1"/>
    <xf numFmtId="0" fontId="1" fillId="0" borderId="17" xfId="0" applyFont="1" applyFill="1" applyBorder="1"/>
    <xf numFmtId="0" fontId="1" fillId="0" borderId="16" xfId="0" applyFont="1" applyBorder="1"/>
    <xf numFmtId="0" fontId="1" fillId="0" borderId="17" xfId="0" applyFont="1" applyBorder="1"/>
    <xf numFmtId="2" fontId="1" fillId="0" borderId="18" xfId="0" applyNumberFormat="1" applyFont="1" applyBorder="1"/>
    <xf numFmtId="0" fontId="1" fillId="0" borderId="39" xfId="0" applyFont="1" applyBorder="1"/>
    <xf numFmtId="0" fontId="1" fillId="0" borderId="40" xfId="0" applyFont="1" applyBorder="1"/>
    <xf numFmtId="169" fontId="1" fillId="0" borderId="17" xfId="0" applyNumberFormat="1" applyFont="1" applyBorder="1"/>
    <xf numFmtId="169" fontId="0" fillId="0" borderId="17" xfId="0" applyNumberFormat="1" applyBorder="1"/>
    <xf numFmtId="0" fontId="1" fillId="0" borderId="18" xfId="0" applyFont="1" applyBorder="1"/>
    <xf numFmtId="0" fontId="1" fillId="0" borderId="37" xfId="0" applyFont="1" applyBorder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1" xfId="0" applyFont="1" applyBorder="1"/>
    <xf numFmtId="49" fontId="1" fillId="0" borderId="15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29" fillId="4" borderId="42" xfId="0" applyFont="1" applyFill="1" applyBorder="1"/>
    <xf numFmtId="0" fontId="1" fillId="4" borderId="49" xfId="0" applyFont="1" applyFill="1" applyBorder="1" applyAlignment="1"/>
    <xf numFmtId="1" fontId="1" fillId="4" borderId="50" xfId="0" applyNumberFormat="1" applyFont="1" applyFill="1" applyBorder="1" applyAlignment="1"/>
    <xf numFmtId="0" fontId="1" fillId="4" borderId="38" xfId="0" applyFont="1" applyFill="1" applyBorder="1"/>
    <xf numFmtId="165" fontId="0" fillId="4" borderId="52" xfId="0" applyNumberFormat="1" applyFill="1" applyBorder="1"/>
    <xf numFmtId="1" fontId="1" fillId="0" borderId="52" xfId="0" applyNumberFormat="1" applyFont="1" applyBorder="1"/>
    <xf numFmtId="0" fontId="6" fillId="0" borderId="0" xfId="3" applyFont="1" applyBorder="1"/>
    <xf numFmtId="0" fontId="34" fillId="0" borderId="0" xfId="0" applyFont="1" applyBorder="1" applyAlignment="1">
      <alignment horizontal="left"/>
    </xf>
    <xf numFmtId="0" fontId="0" fillId="0" borderId="28" xfId="0" applyFill="1" applyBorder="1"/>
    <xf numFmtId="1" fontId="0" fillId="11" borderId="15" xfId="0" applyNumberFormat="1" applyFill="1" applyBorder="1"/>
    <xf numFmtId="1" fontId="1" fillId="11" borderId="15" xfId="0" applyNumberFormat="1" applyFont="1" applyFill="1" applyBorder="1"/>
    <xf numFmtId="1" fontId="10" fillId="11" borderId="15" xfId="0" applyNumberFormat="1" applyFont="1" applyFill="1" applyBorder="1"/>
    <xf numFmtId="1" fontId="8" fillId="0" borderId="0" xfId="0" applyNumberFormat="1" applyFont="1" applyBorder="1"/>
    <xf numFmtId="0" fontId="1" fillId="0" borderId="36" xfId="0" applyFont="1" applyFill="1" applyBorder="1"/>
    <xf numFmtId="0" fontId="1" fillId="0" borderId="36" xfId="0" applyFont="1" applyBorder="1"/>
    <xf numFmtId="1" fontId="1" fillId="11" borderId="0" xfId="0" applyNumberFormat="1" applyFont="1" applyFill="1" applyBorder="1"/>
    <xf numFmtId="0" fontId="10" fillId="0" borderId="0" xfId="0" applyFont="1" applyBorder="1"/>
    <xf numFmtId="0" fontId="10" fillId="0" borderId="0" xfId="0" applyFont="1" applyFill="1" applyBorder="1"/>
    <xf numFmtId="1" fontId="41" fillId="0" borderId="0" xfId="0" applyNumberFormat="1" applyFont="1"/>
    <xf numFmtId="0" fontId="41" fillId="0" borderId="0" xfId="0" applyFont="1"/>
    <xf numFmtId="0" fontId="0" fillId="0" borderId="16" xfId="0" applyBorder="1"/>
    <xf numFmtId="0" fontId="0" fillId="0" borderId="66" xfId="0" applyBorder="1"/>
    <xf numFmtId="5" fontId="1" fillId="0" borderId="0" xfId="2" applyNumberFormat="1" applyFont="1" applyBorder="1"/>
    <xf numFmtId="0" fontId="0" fillId="9" borderId="1" xfId="0" applyFill="1" applyBorder="1"/>
    <xf numFmtId="0" fontId="1" fillId="0" borderId="2" xfId="0" applyFont="1" applyBorder="1"/>
    <xf numFmtId="1" fontId="41" fillId="0" borderId="41" xfId="0" applyNumberFormat="1" applyFont="1" applyBorder="1"/>
    <xf numFmtId="2" fontId="0" fillId="0" borderId="2" xfId="0" applyNumberFormat="1" applyBorder="1"/>
    <xf numFmtId="5" fontId="1" fillId="0" borderId="2" xfId="2" applyNumberFormat="1" applyFont="1" applyBorder="1"/>
    <xf numFmtId="5" fontId="1" fillId="0" borderId="40" xfId="2" applyNumberFormat="1" applyFont="1" applyBorder="1"/>
    <xf numFmtId="168" fontId="41" fillId="0" borderId="41" xfId="0" applyNumberFormat="1" applyFont="1" applyBorder="1"/>
    <xf numFmtId="0" fontId="10" fillId="0" borderId="4" xfId="0" applyFont="1" applyBorder="1"/>
    <xf numFmtId="0" fontId="27" fillId="0" borderId="4" xfId="0" applyFont="1" applyBorder="1"/>
    <xf numFmtId="1" fontId="1" fillId="0" borderId="0" xfId="0" applyNumberFormat="1" applyFont="1" applyBorder="1"/>
    <xf numFmtId="0" fontId="0" fillId="0" borderId="75" xfId="0" applyBorder="1"/>
    <xf numFmtId="1" fontId="41" fillId="0" borderId="5" xfId="0" applyNumberFormat="1" applyFont="1" applyBorder="1"/>
    <xf numFmtId="1" fontId="0" fillId="0" borderId="5" xfId="0" applyNumberFormat="1" applyBorder="1"/>
    <xf numFmtId="0" fontId="27" fillId="0" borderId="75" xfId="0" applyFont="1" applyBorder="1"/>
    <xf numFmtId="0" fontId="41" fillId="0" borderId="39" xfId="0" applyFont="1" applyBorder="1"/>
    <xf numFmtId="1" fontId="0" fillId="0" borderId="40" xfId="0" applyNumberFormat="1" applyBorder="1"/>
    <xf numFmtId="1" fontId="0" fillId="0" borderId="41" xfId="0" applyNumberFormat="1" applyBorder="1"/>
    <xf numFmtId="1" fontId="1" fillId="11" borderId="66" xfId="0" applyNumberFormat="1" applyFont="1" applyFill="1" applyBorder="1"/>
    <xf numFmtId="0" fontId="1" fillId="0" borderId="33" xfId="0" applyFont="1" applyBorder="1"/>
    <xf numFmtId="1" fontId="8" fillId="0" borderId="66" xfId="0" applyNumberFormat="1" applyFont="1" applyBorder="1"/>
    <xf numFmtId="0" fontId="8" fillId="0" borderId="17" xfId="0" applyFont="1" applyBorder="1"/>
    <xf numFmtId="1" fontId="1" fillId="0" borderId="17" xfId="0" applyNumberFormat="1" applyFont="1" applyBorder="1"/>
    <xf numFmtId="1" fontId="41" fillId="0" borderId="18" xfId="0" applyNumberFormat="1" applyFont="1" applyBorder="1"/>
    <xf numFmtId="1" fontId="8" fillId="0" borderId="17" xfId="0" applyNumberFormat="1" applyFont="1" applyBorder="1"/>
    <xf numFmtId="0" fontId="0" fillId="0" borderId="31" xfId="0" applyBorder="1"/>
    <xf numFmtId="0" fontId="10" fillId="0" borderId="17" xfId="0" applyFont="1" applyFill="1" applyBorder="1"/>
    <xf numFmtId="0" fontId="42" fillId="0" borderId="16" xfId="0" applyFont="1" applyBorder="1"/>
    <xf numFmtId="0" fontId="42" fillId="0" borderId="31" xfId="0" applyFont="1" applyFill="1" applyBorder="1"/>
    <xf numFmtId="1" fontId="41" fillId="11" borderId="17" xfId="0" applyNumberFormat="1" applyFont="1" applyFill="1" applyBorder="1"/>
    <xf numFmtId="0" fontId="42" fillId="0" borderId="17" xfId="0" applyFont="1" applyFill="1" applyBorder="1"/>
    <xf numFmtId="1" fontId="41" fillId="0" borderId="66" xfId="0" applyNumberFormat="1" applyFont="1" applyBorder="1"/>
    <xf numFmtId="0" fontId="41" fillId="0" borderId="17" xfId="0" applyFont="1" applyBorder="1"/>
    <xf numFmtId="0" fontId="42" fillId="0" borderId="17" xfId="0" applyFont="1" applyBorder="1"/>
    <xf numFmtId="1" fontId="41" fillId="0" borderId="17" xfId="0" applyNumberFormat="1" applyFont="1" applyBorder="1"/>
    <xf numFmtId="1" fontId="1" fillId="11" borderId="17" xfId="0" applyNumberFormat="1" applyFont="1" applyFill="1" applyBorder="1"/>
    <xf numFmtId="2" fontId="0" fillId="0" borderId="38" xfId="0" applyNumberFormat="1" applyBorder="1"/>
    <xf numFmtId="0" fontId="26" fillId="0" borderId="53" xfId="0" applyFont="1" applyBorder="1"/>
    <xf numFmtId="0" fontId="26" fillId="0" borderId="54" xfId="0" applyFont="1" applyBorder="1"/>
    <xf numFmtId="0" fontId="0" fillId="0" borderId="1" xfId="0" applyFill="1" applyBorder="1"/>
    <xf numFmtId="0" fontId="26" fillId="0" borderId="51" xfId="0" applyFont="1" applyFill="1" applyBorder="1"/>
    <xf numFmtId="0" fontId="26" fillId="0" borderId="38" xfId="0" applyFont="1" applyFill="1" applyBorder="1"/>
    <xf numFmtId="0" fontId="0" fillId="0" borderId="51" xfId="0" applyFill="1" applyBorder="1"/>
    <xf numFmtId="0" fontId="0" fillId="0" borderId="38" xfId="0" applyFill="1" applyBorder="1"/>
    <xf numFmtId="3" fontId="0" fillId="0" borderId="17" xfId="0" applyNumberFormat="1" applyBorder="1"/>
    <xf numFmtId="3" fontId="0" fillId="0" borderId="38" xfId="0" applyNumberFormat="1" applyFill="1" applyBorder="1"/>
    <xf numFmtId="1" fontId="0" fillId="0" borderId="38" xfId="0" applyNumberFormat="1" applyFill="1" applyBorder="1"/>
    <xf numFmtId="0" fontId="26" fillId="0" borderId="16" xfId="0" applyFont="1" applyFill="1" applyBorder="1"/>
    <xf numFmtId="0" fontId="0" fillId="15" borderId="0" xfId="0" applyFill="1"/>
    <xf numFmtId="0" fontId="0" fillId="17" borderId="16" xfId="0" applyFill="1" applyBorder="1"/>
    <xf numFmtId="0" fontId="0" fillId="17" borderId="17" xfId="0" applyFill="1" applyBorder="1"/>
    <xf numFmtId="0" fontId="0" fillId="17" borderId="18" xfId="0" applyFill="1" applyBorder="1"/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/>
    <xf numFmtId="0" fontId="2" fillId="0" borderId="39" xfId="0" applyFont="1" applyBorder="1"/>
    <xf numFmtId="0" fontId="2" fillId="0" borderId="40" xfId="0" applyFont="1" applyBorder="1"/>
    <xf numFmtId="2" fontId="2" fillId="0" borderId="41" xfId="0" applyNumberFormat="1" applyFont="1" applyBorder="1"/>
    <xf numFmtId="1" fontId="0" fillId="0" borderId="8" xfId="0" applyNumberFormat="1" applyFill="1" applyBorder="1"/>
    <xf numFmtId="14" fontId="0" fillId="0" borderId="0" xfId="0" applyNumberFormat="1"/>
    <xf numFmtId="0" fontId="22" fillId="0" borderId="0" xfId="1" applyAlignment="1" applyProtection="1"/>
    <xf numFmtId="170" fontId="1" fillId="0" borderId="38" xfId="0" applyNumberFormat="1" applyFont="1" applyBorder="1"/>
    <xf numFmtId="170" fontId="1" fillId="0" borderId="54" xfId="0" applyNumberFormat="1" applyFont="1" applyBorder="1"/>
    <xf numFmtId="165" fontId="1" fillId="0" borderId="27" xfId="0" applyNumberFormat="1" applyFont="1" applyBorder="1"/>
    <xf numFmtId="3" fontId="1" fillId="4" borderId="38" xfId="0" applyNumberFormat="1" applyFont="1" applyFill="1" applyBorder="1"/>
    <xf numFmtId="1" fontId="1" fillId="4" borderId="38" xfId="0" applyNumberFormat="1" applyFont="1" applyFill="1" applyBorder="1"/>
    <xf numFmtId="0" fontId="10" fillId="7" borderId="38" xfId="3" applyFont="1" applyFill="1" applyBorder="1" applyAlignment="1">
      <alignment horizontal="center" vertical="top"/>
    </xf>
    <xf numFmtId="49" fontId="11" fillId="7" borderId="38" xfId="3" applyNumberFormat="1" applyFont="1" applyFill="1" applyBorder="1" applyAlignment="1">
      <alignment horizontal="left" vertical="top"/>
    </xf>
    <xf numFmtId="0" fontId="11" fillId="7" borderId="38" xfId="3" applyFont="1" applyFill="1" applyBorder="1" applyAlignment="1">
      <alignment wrapText="1"/>
    </xf>
    <xf numFmtId="49" fontId="19" fillId="7" borderId="38" xfId="3" applyNumberFormat="1" applyFont="1" applyFill="1" applyBorder="1" applyAlignment="1">
      <alignment horizontal="center" shrinkToFit="1"/>
    </xf>
    <xf numFmtId="4" fontId="19" fillId="7" borderId="38" xfId="3" applyNumberFormat="1" applyFont="1" applyFill="1" applyBorder="1" applyAlignment="1">
      <alignment horizontal="right"/>
    </xf>
    <xf numFmtId="4" fontId="19" fillId="7" borderId="38" xfId="3" applyNumberFormat="1" applyFont="1" applyFill="1" applyBorder="1"/>
    <xf numFmtId="0" fontId="10" fillId="0" borderId="38" xfId="3" applyFont="1" applyFill="1" applyBorder="1" applyAlignment="1">
      <alignment horizontal="center" vertical="top"/>
    </xf>
    <xf numFmtId="49" fontId="11" fillId="0" borderId="38" xfId="3" applyNumberFormat="1" applyFont="1" applyFill="1" applyBorder="1" applyAlignment="1">
      <alignment horizontal="left" vertical="top"/>
    </xf>
    <xf numFmtId="49" fontId="19" fillId="0" borderId="38" xfId="3" applyNumberFormat="1" applyFont="1" applyFill="1" applyBorder="1" applyAlignment="1">
      <alignment horizontal="center" shrinkToFit="1"/>
    </xf>
    <xf numFmtId="0" fontId="34" fillId="0" borderId="0" xfId="0" applyFont="1" applyAlignment="1">
      <alignment horizontal="left"/>
    </xf>
    <xf numFmtId="167" fontId="0" fillId="0" borderId="0" xfId="0" applyNumberFormat="1"/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horizontal="right"/>
    </xf>
    <xf numFmtId="1" fontId="38" fillId="0" borderId="0" xfId="0" applyNumberFormat="1" applyFont="1" applyBorder="1" applyAlignment="1">
      <alignment horizontal="left"/>
    </xf>
    <xf numFmtId="167" fontId="0" fillId="0" borderId="0" xfId="0" applyNumberFormat="1" applyBorder="1"/>
    <xf numFmtId="0" fontId="43" fillId="0" borderId="0" xfId="0" applyFont="1"/>
    <xf numFmtId="0" fontId="44" fillId="0" borderId="42" xfId="0" applyFont="1" applyFill="1" applyBorder="1" applyAlignment="1">
      <alignment horizontal="center"/>
    </xf>
    <xf numFmtId="0" fontId="44" fillId="2" borderId="17" xfId="0" applyFont="1" applyFill="1" applyBorder="1" applyAlignment="1">
      <alignment horizontal="center"/>
    </xf>
    <xf numFmtId="0" fontId="45" fillId="0" borderId="16" xfId="0" applyFont="1" applyFill="1" applyBorder="1" applyAlignment="1">
      <alignment horizontal="center"/>
    </xf>
    <xf numFmtId="1" fontId="44" fillId="0" borderId="42" xfId="0" applyNumberFormat="1" applyFont="1" applyFill="1" applyBorder="1" applyAlignment="1">
      <alignment horizontal="center"/>
    </xf>
    <xf numFmtId="0" fontId="46" fillId="0" borderId="42" xfId="0" applyFont="1" applyFill="1" applyBorder="1" applyAlignment="1">
      <alignment horizontal="center"/>
    </xf>
    <xf numFmtId="0" fontId="44" fillId="2" borderId="42" xfId="0" applyFont="1" applyFill="1" applyBorder="1" applyAlignment="1">
      <alignment horizontal="center"/>
    </xf>
    <xf numFmtId="167" fontId="44" fillId="0" borderId="16" xfId="0" applyNumberFormat="1" applyFont="1" applyFill="1" applyBorder="1" applyAlignment="1">
      <alignment horizontal="center"/>
    </xf>
    <xf numFmtId="167" fontId="44" fillId="2" borderId="16" xfId="0" applyNumberFormat="1" applyFont="1" applyFill="1" applyBorder="1" applyAlignment="1">
      <alignment horizontal="center"/>
    </xf>
    <xf numFmtId="167" fontId="44" fillId="4" borderId="16" xfId="0" applyNumberFormat="1" applyFont="1" applyFill="1" applyBorder="1" applyAlignment="1">
      <alignment horizontal="center"/>
    </xf>
    <xf numFmtId="0" fontId="44" fillId="12" borderId="16" xfId="0" applyFont="1" applyFill="1" applyBorder="1" applyAlignment="1">
      <alignment horizontal="center"/>
    </xf>
    <xf numFmtId="0" fontId="44" fillId="5" borderId="16" xfId="0" applyFont="1" applyFill="1" applyBorder="1" applyAlignment="1">
      <alignment horizontal="center"/>
    </xf>
    <xf numFmtId="0" fontId="44" fillId="10" borderId="42" xfId="0" applyFont="1" applyFill="1" applyBorder="1" applyAlignment="1">
      <alignment horizontal="center"/>
    </xf>
    <xf numFmtId="0" fontId="44" fillId="18" borderId="17" xfId="0" applyFont="1" applyFill="1" applyBorder="1" applyAlignment="1">
      <alignment horizontal="center"/>
    </xf>
    <xf numFmtId="0" fontId="44" fillId="8" borderId="42" xfId="0" applyFont="1" applyFill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76" xfId="0" applyFont="1" applyFill="1" applyBorder="1" applyAlignment="1">
      <alignment horizontal="left"/>
    </xf>
    <xf numFmtId="167" fontId="43" fillId="0" borderId="76" xfId="0" applyNumberFormat="1" applyFont="1" applyFill="1" applyBorder="1" applyAlignment="1">
      <alignment horizontal="right"/>
    </xf>
    <xf numFmtId="167" fontId="43" fillId="2" borderId="20" xfId="0" applyNumberFormat="1" applyFont="1" applyFill="1" applyBorder="1" applyAlignment="1">
      <alignment horizontal="right"/>
    </xf>
    <xf numFmtId="167" fontId="47" fillId="0" borderId="22" xfId="0" applyNumberFormat="1" applyFont="1" applyFill="1" applyBorder="1" applyAlignment="1">
      <alignment horizontal="right"/>
    </xf>
    <xf numFmtId="1" fontId="43" fillId="0" borderId="76" xfId="0" applyNumberFormat="1" applyFont="1" applyFill="1" applyBorder="1" applyAlignment="1">
      <alignment horizontal="center"/>
    </xf>
    <xf numFmtId="167" fontId="48" fillId="0" borderId="76" xfId="0" applyNumberFormat="1" applyFont="1" applyFill="1" applyBorder="1" applyAlignment="1">
      <alignment horizontal="right"/>
    </xf>
    <xf numFmtId="1" fontId="43" fillId="0" borderId="22" xfId="0" applyNumberFormat="1" applyFont="1" applyFill="1" applyBorder="1" applyAlignment="1">
      <alignment horizontal="center"/>
    </xf>
    <xf numFmtId="167" fontId="43" fillId="2" borderId="76" xfId="0" applyNumberFormat="1" applyFont="1" applyFill="1" applyBorder="1" applyAlignment="1">
      <alignment horizontal="right"/>
    </xf>
    <xf numFmtId="167" fontId="43" fillId="0" borderId="26" xfId="0" applyNumberFormat="1" applyFont="1" applyFill="1" applyBorder="1" applyAlignment="1">
      <alignment horizontal="right"/>
    </xf>
    <xf numFmtId="167" fontId="43" fillId="2" borderId="26" xfId="0" applyNumberFormat="1" applyFont="1" applyFill="1" applyBorder="1" applyAlignment="1">
      <alignment horizontal="right"/>
    </xf>
    <xf numFmtId="167" fontId="43" fillId="4" borderId="26" xfId="0" applyNumberFormat="1" applyFont="1" applyFill="1" applyBorder="1" applyAlignment="1">
      <alignment horizontal="right"/>
    </xf>
    <xf numFmtId="167" fontId="43" fillId="12" borderId="26" xfId="0" applyNumberFormat="1" applyFont="1" applyFill="1" applyBorder="1"/>
    <xf numFmtId="167" fontId="43" fillId="5" borderId="26" xfId="0" applyNumberFormat="1" applyFont="1" applyFill="1" applyBorder="1"/>
    <xf numFmtId="167" fontId="43" fillId="10" borderId="76" xfId="0" applyNumberFormat="1" applyFont="1" applyFill="1" applyBorder="1"/>
    <xf numFmtId="167" fontId="43" fillId="18" borderId="20" xfId="0" applyNumberFormat="1" applyFont="1" applyFill="1" applyBorder="1"/>
    <xf numFmtId="167" fontId="43" fillId="8" borderId="76" xfId="0" applyNumberFormat="1" applyFont="1" applyFill="1" applyBorder="1"/>
    <xf numFmtId="0" fontId="43" fillId="2" borderId="76" xfId="0" applyFont="1" applyFill="1" applyBorder="1"/>
    <xf numFmtId="167" fontId="43" fillId="0" borderId="59" xfId="0" applyNumberFormat="1" applyFont="1" applyBorder="1"/>
    <xf numFmtId="0" fontId="43" fillId="0" borderId="77" xfId="0" applyFont="1" applyFill="1" applyBorder="1" applyAlignment="1">
      <alignment horizontal="left"/>
    </xf>
    <xf numFmtId="167" fontId="43" fillId="0" borderId="77" xfId="0" applyNumberFormat="1" applyFont="1" applyFill="1" applyBorder="1" applyAlignment="1">
      <alignment horizontal="right"/>
    </xf>
    <xf numFmtId="167" fontId="43" fillId="2" borderId="12" xfId="0" applyNumberFormat="1" applyFont="1" applyFill="1" applyBorder="1" applyAlignment="1">
      <alignment horizontal="right"/>
    </xf>
    <xf numFmtId="167" fontId="47" fillId="0" borderId="11" xfId="0" applyNumberFormat="1" applyFont="1" applyFill="1" applyBorder="1" applyAlignment="1">
      <alignment horizontal="right"/>
    </xf>
    <xf numFmtId="1" fontId="43" fillId="0" borderId="11" xfId="0" applyNumberFormat="1" applyFont="1" applyFill="1" applyBorder="1" applyAlignment="1">
      <alignment horizontal="center"/>
    </xf>
    <xf numFmtId="167" fontId="43" fillId="4" borderId="11" xfId="0" applyNumberFormat="1" applyFont="1" applyFill="1" applyBorder="1" applyAlignment="1">
      <alignment horizontal="right"/>
    </xf>
    <xf numFmtId="167" fontId="43" fillId="5" borderId="11" xfId="0" applyNumberFormat="1" applyFont="1" applyFill="1" applyBorder="1"/>
    <xf numFmtId="167" fontId="43" fillId="10" borderId="77" xfId="0" applyNumberFormat="1" applyFont="1" applyFill="1" applyBorder="1"/>
    <xf numFmtId="167" fontId="43" fillId="18" borderId="12" xfId="0" applyNumberFormat="1" applyFont="1" applyFill="1" applyBorder="1"/>
    <xf numFmtId="167" fontId="43" fillId="8" borderId="77" xfId="0" applyNumberFormat="1" applyFont="1" applyFill="1" applyBorder="1"/>
    <xf numFmtId="0" fontId="43" fillId="2" borderId="77" xfId="0" applyFont="1" applyFill="1" applyBorder="1"/>
    <xf numFmtId="0" fontId="47" fillId="0" borderId="77" xfId="0" applyFont="1" applyFill="1" applyBorder="1" applyAlignment="1">
      <alignment horizontal="left"/>
    </xf>
    <xf numFmtId="167" fontId="49" fillId="0" borderId="26" xfId="0" applyNumberFormat="1" applyFont="1" applyFill="1" applyBorder="1" applyAlignment="1">
      <alignment horizontal="right"/>
    </xf>
    <xf numFmtId="167" fontId="49" fillId="5" borderId="11" xfId="0" applyNumberFormat="1" applyFont="1" applyFill="1" applyBorder="1"/>
    <xf numFmtId="167" fontId="49" fillId="0" borderId="59" xfId="0" applyNumberFormat="1" applyFont="1" applyBorder="1"/>
    <xf numFmtId="0" fontId="48" fillId="0" borderId="77" xfId="0" applyFont="1" applyFill="1" applyBorder="1" applyAlignment="1">
      <alignment horizontal="left"/>
    </xf>
    <xf numFmtId="167" fontId="48" fillId="0" borderId="26" xfId="0" applyNumberFormat="1" applyFont="1" applyFill="1" applyBorder="1" applyAlignment="1">
      <alignment horizontal="right"/>
    </xf>
    <xf numFmtId="167" fontId="48" fillId="5" borderId="11" xfId="0" applyNumberFormat="1" applyFont="1" applyFill="1" applyBorder="1"/>
    <xf numFmtId="0" fontId="43" fillId="0" borderId="78" xfId="0" applyFont="1" applyFill="1" applyBorder="1" applyAlignment="1">
      <alignment horizontal="left"/>
    </xf>
    <xf numFmtId="167" fontId="43" fillId="0" borderId="78" xfId="0" applyNumberFormat="1" applyFont="1" applyFill="1" applyBorder="1" applyAlignment="1">
      <alignment horizontal="right"/>
    </xf>
    <xf numFmtId="167" fontId="43" fillId="2" borderId="8" xfId="0" applyNumberFormat="1" applyFont="1" applyFill="1" applyBorder="1" applyAlignment="1">
      <alignment horizontal="right"/>
    </xf>
    <xf numFmtId="167" fontId="47" fillId="0" borderId="62" xfId="0" applyNumberFormat="1" applyFont="1" applyFill="1" applyBorder="1" applyAlignment="1">
      <alignment horizontal="right"/>
    </xf>
    <xf numFmtId="1" fontId="43" fillId="0" borderId="62" xfId="0" applyNumberFormat="1" applyFont="1" applyFill="1" applyBorder="1" applyAlignment="1">
      <alignment horizontal="center"/>
    </xf>
    <xf numFmtId="167" fontId="43" fillId="2" borderId="4" xfId="0" applyNumberFormat="1" applyFont="1" applyFill="1" applyBorder="1" applyAlignment="1">
      <alignment horizontal="right"/>
    </xf>
    <xf numFmtId="167" fontId="43" fillId="4" borderId="6" xfId="0" applyNumberFormat="1" applyFont="1" applyFill="1" applyBorder="1" applyAlignment="1">
      <alignment horizontal="right"/>
    </xf>
    <xf numFmtId="167" fontId="43" fillId="12" borderId="4" xfId="0" applyNumberFormat="1" applyFont="1" applyFill="1" applyBorder="1"/>
    <xf numFmtId="167" fontId="43" fillId="5" borderId="6" xfId="0" applyNumberFormat="1" applyFont="1" applyFill="1" applyBorder="1"/>
    <xf numFmtId="167" fontId="43" fillId="10" borderId="78" xfId="0" applyNumberFormat="1" applyFont="1" applyFill="1" applyBorder="1"/>
    <xf numFmtId="167" fontId="43" fillId="18" borderId="8" xfId="0" applyNumberFormat="1" applyFont="1" applyFill="1" applyBorder="1"/>
    <xf numFmtId="167" fontId="43" fillId="8" borderId="78" xfId="0" applyNumberFormat="1" applyFont="1" applyFill="1" applyBorder="1"/>
    <xf numFmtId="0" fontId="43" fillId="2" borderId="78" xfId="0" applyFont="1" applyFill="1" applyBorder="1"/>
    <xf numFmtId="0" fontId="43" fillId="0" borderId="42" xfId="0" applyFont="1" applyFill="1" applyBorder="1" applyAlignment="1">
      <alignment horizontal="center"/>
    </xf>
    <xf numFmtId="167" fontId="43" fillId="0" borderId="42" xfId="0" applyNumberFormat="1" applyFont="1" applyFill="1" applyBorder="1" applyAlignment="1">
      <alignment horizontal="right"/>
    </xf>
    <xf numFmtId="167" fontId="43" fillId="2" borderId="17" xfId="0" applyNumberFormat="1" applyFont="1" applyFill="1" applyBorder="1" applyAlignment="1">
      <alignment horizontal="right"/>
    </xf>
    <xf numFmtId="167" fontId="47" fillId="0" borderId="16" xfId="0" applyNumberFormat="1" applyFont="1" applyFill="1" applyBorder="1" applyAlignment="1">
      <alignment horizontal="right"/>
    </xf>
    <xf numFmtId="1" fontId="43" fillId="0" borderId="42" xfId="0" applyNumberFormat="1" applyFont="1" applyFill="1" applyBorder="1" applyAlignment="1">
      <alignment horizontal="right"/>
    </xf>
    <xf numFmtId="167" fontId="48" fillId="0" borderId="42" xfId="0" applyNumberFormat="1" applyFont="1" applyFill="1" applyBorder="1" applyAlignment="1">
      <alignment horizontal="right"/>
    </xf>
    <xf numFmtId="1" fontId="43" fillId="0" borderId="16" xfId="0" applyNumberFormat="1" applyFont="1" applyFill="1" applyBorder="1" applyAlignment="1">
      <alignment horizontal="right"/>
    </xf>
    <xf numFmtId="167" fontId="43" fillId="2" borderId="42" xfId="0" applyNumberFormat="1" applyFont="1" applyFill="1" applyBorder="1" applyAlignment="1">
      <alignment horizontal="right"/>
    </xf>
    <xf numFmtId="167" fontId="43" fillId="0" borderId="16" xfId="0" applyNumberFormat="1" applyFont="1" applyFill="1" applyBorder="1" applyAlignment="1">
      <alignment horizontal="right"/>
    </xf>
    <xf numFmtId="167" fontId="43" fillId="2" borderId="16" xfId="0" applyNumberFormat="1" applyFont="1" applyFill="1" applyBorder="1" applyAlignment="1">
      <alignment horizontal="right"/>
    </xf>
    <xf numFmtId="167" fontId="43" fillId="4" borderId="16" xfId="0" applyNumberFormat="1" applyFont="1" applyFill="1" applyBorder="1" applyAlignment="1">
      <alignment horizontal="right"/>
    </xf>
    <xf numFmtId="167" fontId="43" fillId="12" borderId="16" xfId="0" applyNumberFormat="1" applyFont="1" applyFill="1" applyBorder="1"/>
    <xf numFmtId="167" fontId="43" fillId="5" borderId="16" xfId="0" applyNumberFormat="1" applyFont="1" applyFill="1" applyBorder="1"/>
    <xf numFmtId="167" fontId="43" fillId="10" borderId="42" xfId="0" applyNumberFormat="1" applyFont="1" applyFill="1" applyBorder="1"/>
    <xf numFmtId="167" fontId="43" fillId="18" borderId="17" xfId="0" applyNumberFormat="1" applyFont="1" applyFill="1" applyBorder="1"/>
    <xf numFmtId="167" fontId="43" fillId="8" borderId="42" xfId="0" applyNumberFormat="1" applyFont="1" applyFill="1" applyBorder="1"/>
    <xf numFmtId="0" fontId="43" fillId="2" borderId="42" xfId="0" applyFont="1" applyFill="1" applyBorder="1"/>
    <xf numFmtId="167" fontId="43" fillId="0" borderId="18" xfId="0" applyNumberFormat="1" applyFont="1" applyBorder="1"/>
    <xf numFmtId="0" fontId="43" fillId="0" borderId="0" xfId="0" applyFont="1" applyFill="1" applyBorder="1" applyAlignment="1">
      <alignment horizontal="center"/>
    </xf>
    <xf numFmtId="167" fontId="43" fillId="0" borderId="0" xfId="0" applyNumberFormat="1" applyFont="1" applyFill="1" applyBorder="1" applyAlignment="1">
      <alignment horizontal="right"/>
    </xf>
    <xf numFmtId="167" fontId="47" fillId="0" borderId="0" xfId="0" applyNumberFormat="1" applyFont="1" applyFill="1" applyBorder="1" applyAlignment="1">
      <alignment horizontal="right"/>
    </xf>
    <xf numFmtId="1" fontId="43" fillId="0" borderId="0" xfId="0" applyNumberFormat="1" applyFont="1" applyFill="1" applyBorder="1" applyAlignment="1">
      <alignment horizontal="right"/>
    </xf>
    <xf numFmtId="167" fontId="48" fillId="0" borderId="0" xfId="0" applyNumberFormat="1" applyFont="1" applyFill="1" applyBorder="1" applyAlignment="1">
      <alignment horizontal="right"/>
    </xf>
    <xf numFmtId="167" fontId="44" fillId="2" borderId="42" xfId="0" applyNumberFormat="1" applyFont="1" applyFill="1" applyBorder="1" applyAlignment="1">
      <alignment horizontal="center"/>
    </xf>
    <xf numFmtId="167" fontId="44" fillId="0" borderId="33" xfId="0" applyNumberFormat="1" applyFont="1" applyFill="1" applyBorder="1" applyAlignment="1">
      <alignment horizontal="center"/>
    </xf>
    <xf numFmtId="0" fontId="44" fillId="0" borderId="31" xfId="0" applyFont="1" applyBorder="1" applyAlignment="1">
      <alignment horizontal="center"/>
    </xf>
    <xf numFmtId="167" fontId="44" fillId="0" borderId="66" xfId="0" applyNumberFormat="1" applyFont="1" applyFill="1" applyBorder="1" applyAlignment="1">
      <alignment horizontal="center"/>
    </xf>
    <xf numFmtId="167" fontId="44" fillId="0" borderId="42" xfId="0" applyNumberFormat="1" applyFont="1" applyFill="1" applyBorder="1" applyAlignment="1">
      <alignment horizontal="center"/>
    </xf>
    <xf numFmtId="167" fontId="44" fillId="0" borderId="0" xfId="0" applyNumberFormat="1" applyFont="1" applyFill="1" applyBorder="1" applyAlignment="1">
      <alignment horizontal="center"/>
    </xf>
    <xf numFmtId="167" fontId="44" fillId="4" borderId="22" xfId="0" applyNumberFormat="1" applyFont="1" applyFill="1" applyBorder="1" applyAlignment="1">
      <alignment horizontal="center"/>
    </xf>
    <xf numFmtId="167" fontId="43" fillId="2" borderId="79" xfId="0" applyNumberFormat="1" applyFont="1" applyFill="1" applyBorder="1" applyAlignment="1">
      <alignment horizontal="center"/>
    </xf>
    <xf numFmtId="167" fontId="43" fillId="4" borderId="24" xfId="0" applyNumberFormat="1" applyFont="1" applyFill="1" applyBorder="1" applyAlignment="1">
      <alignment horizontal="right"/>
    </xf>
    <xf numFmtId="167" fontId="43" fillId="4" borderId="49" xfId="0" applyNumberFormat="1" applyFont="1" applyFill="1" applyBorder="1" applyAlignment="1">
      <alignment horizontal="right"/>
    </xf>
    <xf numFmtId="167" fontId="43" fillId="4" borderId="55" xfId="0" applyNumberFormat="1" applyFont="1" applyFill="1" applyBorder="1" applyAlignment="1">
      <alignment horizontal="right"/>
    </xf>
    <xf numFmtId="167" fontId="44" fillId="4" borderId="79" xfId="0" applyNumberFormat="1" applyFont="1" applyFill="1" applyBorder="1" applyAlignment="1">
      <alignment horizontal="right"/>
    </xf>
    <xf numFmtId="167" fontId="44" fillId="0" borderId="0" xfId="0" applyNumberFormat="1" applyFont="1" applyFill="1" applyBorder="1" applyAlignment="1">
      <alignment horizontal="right"/>
    </xf>
    <xf numFmtId="167" fontId="44" fillId="12" borderId="11" xfId="0" applyNumberFormat="1" applyFont="1" applyFill="1" applyBorder="1" applyAlignment="1">
      <alignment horizontal="center"/>
    </xf>
    <xf numFmtId="167" fontId="43" fillId="2" borderId="77" xfId="0" applyNumberFormat="1" applyFont="1" applyFill="1" applyBorder="1" applyAlignment="1">
      <alignment horizontal="center"/>
    </xf>
    <xf numFmtId="167" fontId="43" fillId="12" borderId="25" xfId="0" applyNumberFormat="1" applyFont="1" applyFill="1" applyBorder="1" applyAlignment="1">
      <alignment horizontal="right"/>
    </xf>
    <xf numFmtId="167" fontId="43" fillId="12" borderId="74" xfId="0" applyNumberFormat="1" applyFont="1" applyFill="1" applyBorder="1" applyAlignment="1">
      <alignment horizontal="right"/>
    </xf>
    <xf numFmtId="167" fontId="43" fillId="12" borderId="13" xfId="0" applyNumberFormat="1" applyFont="1" applyFill="1" applyBorder="1" applyAlignment="1">
      <alignment horizontal="right"/>
    </xf>
    <xf numFmtId="167" fontId="44" fillId="12" borderId="76" xfId="0" applyNumberFormat="1" applyFont="1" applyFill="1" applyBorder="1" applyAlignment="1">
      <alignment horizontal="right"/>
    </xf>
    <xf numFmtId="167" fontId="43" fillId="0" borderId="0" xfId="0" applyNumberFormat="1" applyFont="1"/>
    <xf numFmtId="167" fontId="44" fillId="5" borderId="11" xfId="0" applyNumberFormat="1" applyFont="1" applyFill="1" applyBorder="1" applyAlignment="1">
      <alignment horizontal="center"/>
    </xf>
    <xf numFmtId="167" fontId="43" fillId="5" borderId="25" xfId="0" applyNumberFormat="1" applyFont="1" applyFill="1" applyBorder="1" applyAlignment="1">
      <alignment horizontal="right"/>
    </xf>
    <xf numFmtId="167" fontId="43" fillId="5" borderId="74" xfId="0" applyNumberFormat="1" applyFont="1" applyFill="1" applyBorder="1" applyAlignment="1">
      <alignment horizontal="right"/>
    </xf>
    <xf numFmtId="167" fontId="43" fillId="5" borderId="13" xfId="0" applyNumberFormat="1" applyFont="1" applyFill="1" applyBorder="1" applyAlignment="1">
      <alignment horizontal="right"/>
    </xf>
    <xf numFmtId="167" fontId="44" fillId="5" borderId="76" xfId="0" applyNumberFormat="1" applyFont="1" applyFill="1" applyBorder="1" applyAlignment="1">
      <alignment horizontal="right"/>
    </xf>
    <xf numFmtId="167" fontId="44" fillId="10" borderId="11" xfId="0" applyNumberFormat="1" applyFont="1" applyFill="1" applyBorder="1" applyAlignment="1">
      <alignment horizontal="center"/>
    </xf>
    <xf numFmtId="167" fontId="43" fillId="2" borderId="77" xfId="0" applyNumberFormat="1" applyFont="1" applyFill="1" applyBorder="1" applyAlignment="1">
      <alignment horizontal="right"/>
    </xf>
    <xf numFmtId="167" fontId="43" fillId="10" borderId="25" xfId="0" applyNumberFormat="1" applyFont="1" applyFill="1" applyBorder="1" applyAlignment="1">
      <alignment horizontal="right"/>
    </xf>
    <xf numFmtId="167" fontId="43" fillId="10" borderId="74" xfId="0" applyNumberFormat="1" applyFont="1" applyFill="1" applyBorder="1" applyAlignment="1">
      <alignment horizontal="right"/>
    </xf>
    <xf numFmtId="167" fontId="43" fillId="10" borderId="13" xfId="0" applyNumberFormat="1" applyFont="1" applyFill="1" applyBorder="1" applyAlignment="1">
      <alignment horizontal="right"/>
    </xf>
    <xf numFmtId="167" fontId="44" fillId="10" borderId="76" xfId="0" applyNumberFormat="1" applyFont="1" applyFill="1" applyBorder="1" applyAlignment="1">
      <alignment horizontal="right"/>
    </xf>
    <xf numFmtId="167" fontId="44" fillId="18" borderId="11" xfId="0" applyNumberFormat="1" applyFont="1" applyFill="1" applyBorder="1" applyAlignment="1">
      <alignment horizontal="center"/>
    </xf>
    <xf numFmtId="167" fontId="43" fillId="18" borderId="25" xfId="0" applyNumberFormat="1" applyFont="1" applyFill="1" applyBorder="1" applyAlignment="1">
      <alignment horizontal="right"/>
    </xf>
    <xf numFmtId="167" fontId="43" fillId="18" borderId="38" xfId="0" applyNumberFormat="1" applyFont="1" applyFill="1" applyBorder="1" applyAlignment="1">
      <alignment horizontal="right"/>
    </xf>
    <xf numFmtId="167" fontId="43" fillId="18" borderId="13" xfId="0" applyNumberFormat="1" applyFont="1" applyFill="1" applyBorder="1" applyAlignment="1">
      <alignment horizontal="right"/>
    </xf>
    <xf numFmtId="167" fontId="44" fillId="18" borderId="77" xfId="0" applyNumberFormat="1" applyFont="1" applyFill="1" applyBorder="1" applyAlignment="1">
      <alignment horizontal="right"/>
    </xf>
    <xf numFmtId="167" fontId="44" fillId="8" borderId="39" xfId="0" applyNumberFormat="1" applyFont="1" applyFill="1" applyBorder="1" applyAlignment="1">
      <alignment horizontal="center"/>
    </xf>
    <xf numFmtId="167" fontId="43" fillId="8" borderId="58" xfId="0" applyNumberFormat="1" applyFont="1" applyFill="1" applyBorder="1" applyAlignment="1">
      <alignment horizontal="right"/>
    </xf>
    <xf numFmtId="167" fontId="43" fillId="8" borderId="80" xfId="0" applyNumberFormat="1" applyFont="1" applyFill="1" applyBorder="1" applyAlignment="1">
      <alignment horizontal="right"/>
    </xf>
    <xf numFmtId="167" fontId="43" fillId="8" borderId="46" xfId="0" applyNumberFormat="1" applyFont="1" applyFill="1" applyBorder="1" applyAlignment="1">
      <alignment horizontal="right"/>
    </xf>
    <xf numFmtId="167" fontId="43" fillId="8" borderId="81" xfId="0" applyNumberFormat="1" applyFont="1" applyFill="1" applyBorder="1" applyAlignment="1">
      <alignment horizontal="right"/>
    </xf>
    <xf numFmtId="167" fontId="44" fillId="8" borderId="58" xfId="0" applyNumberFormat="1" applyFont="1" applyFill="1" applyBorder="1" applyAlignment="1">
      <alignment horizontal="right"/>
    </xf>
    <xf numFmtId="0" fontId="43" fillId="0" borderId="0" xfId="0" applyFont="1" applyAlignment="1">
      <alignment horizontal="center"/>
    </xf>
    <xf numFmtId="1" fontId="43" fillId="0" borderId="0" xfId="0" applyNumberFormat="1" applyFont="1"/>
    <xf numFmtId="167" fontId="43" fillId="0" borderId="0" xfId="0" applyNumberFormat="1" applyFont="1" applyFill="1" applyBorder="1"/>
    <xf numFmtId="0" fontId="43" fillId="0" borderId="0" xfId="0" applyFont="1" applyAlignment="1">
      <alignment horizontal="left"/>
    </xf>
    <xf numFmtId="167" fontId="48" fillId="0" borderId="0" xfId="0" applyNumberFormat="1" applyFont="1" applyFill="1" applyBorder="1"/>
    <xf numFmtId="167" fontId="43" fillId="0" borderId="0" xfId="0" applyNumberFormat="1" applyFont="1" applyBorder="1"/>
    <xf numFmtId="9" fontId="43" fillId="0" borderId="0" xfId="0" applyNumberFormat="1" applyFont="1" applyBorder="1"/>
    <xf numFmtId="0" fontId="43" fillId="0" borderId="0" xfId="0" applyFont="1" applyBorder="1"/>
    <xf numFmtId="0" fontId="43" fillId="0" borderId="22" xfId="0" applyFont="1" applyBorder="1" applyAlignment="1">
      <alignment horizontal="left"/>
    </xf>
    <xf numFmtId="0" fontId="43" fillId="0" borderId="23" xfId="0" applyFont="1" applyBorder="1" applyAlignment="1">
      <alignment horizontal="center"/>
    </xf>
    <xf numFmtId="0" fontId="43" fillId="0" borderId="23" xfId="0" applyFont="1" applyBorder="1"/>
    <xf numFmtId="1" fontId="43" fillId="0" borderId="23" xfId="0" applyNumberFormat="1" applyFont="1" applyBorder="1"/>
    <xf numFmtId="167" fontId="43" fillId="0" borderId="79" xfId="0" applyNumberFormat="1" applyFont="1" applyBorder="1"/>
    <xf numFmtId="0" fontId="43" fillId="0" borderId="11" xfId="0" applyFont="1" applyBorder="1" applyAlignment="1">
      <alignment horizontal="left"/>
    </xf>
    <xf numFmtId="0" fontId="43" fillId="0" borderId="12" xfId="0" applyFont="1" applyBorder="1" applyAlignment="1">
      <alignment horizontal="center"/>
    </xf>
    <xf numFmtId="0" fontId="43" fillId="0" borderId="12" xfId="0" applyFont="1" applyBorder="1"/>
    <xf numFmtId="1" fontId="43" fillId="0" borderId="12" xfId="0" applyNumberFormat="1" applyFont="1" applyBorder="1"/>
    <xf numFmtId="167" fontId="43" fillId="0" borderId="77" xfId="0" applyNumberFormat="1" applyFont="1" applyBorder="1"/>
    <xf numFmtId="0" fontId="43" fillId="0" borderId="0" xfId="0" applyFont="1" applyFill="1" applyBorder="1"/>
    <xf numFmtId="0" fontId="43" fillId="0" borderId="0" xfId="0" applyFont="1" applyBorder="1" applyAlignment="1">
      <alignment horizontal="right"/>
    </xf>
    <xf numFmtId="0" fontId="43" fillId="0" borderId="26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1" fontId="43" fillId="0" borderId="0" xfId="0" applyNumberFormat="1" applyFont="1" applyBorder="1"/>
    <xf numFmtId="167" fontId="43" fillId="0" borderId="57" xfId="0" applyNumberFormat="1" applyFont="1" applyBorder="1"/>
    <xf numFmtId="0" fontId="50" fillId="19" borderId="16" xfId="0" applyFont="1" applyFill="1" applyBorder="1" applyAlignment="1">
      <alignment horizontal="left"/>
    </xf>
    <xf numFmtId="0" fontId="50" fillId="19" borderId="17" xfId="0" applyFont="1" applyFill="1" applyBorder="1" applyAlignment="1">
      <alignment horizontal="center"/>
    </xf>
    <xf numFmtId="0" fontId="50" fillId="19" borderId="17" xfId="0" applyFont="1" applyFill="1" applyBorder="1"/>
    <xf numFmtId="1" fontId="50" fillId="19" borderId="17" xfId="0" applyNumberFormat="1" applyFont="1" applyFill="1" applyBorder="1"/>
    <xf numFmtId="167" fontId="50" fillId="19" borderId="42" xfId="0" applyNumberFormat="1" applyFont="1" applyFill="1" applyBorder="1"/>
    <xf numFmtId="0" fontId="44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/>
    <xf numFmtId="1" fontId="44" fillId="0" borderId="0" xfId="0" applyNumberFormat="1" applyFont="1" applyFill="1" applyBorder="1"/>
    <xf numFmtId="1" fontId="43" fillId="0" borderId="0" xfId="0" applyNumberFormat="1" applyFont="1" applyFill="1" applyBorder="1"/>
    <xf numFmtId="0" fontId="43" fillId="0" borderId="0" xfId="0" applyFont="1" applyBorder="1" applyAlignment="1">
      <alignment horizontal="left"/>
    </xf>
    <xf numFmtId="0" fontId="43" fillId="0" borderId="30" xfId="0" applyFont="1" applyBorder="1"/>
    <xf numFmtId="0" fontId="51" fillId="0" borderId="0" xfId="0" applyFont="1"/>
    <xf numFmtId="0" fontId="51" fillId="0" borderId="0" xfId="0" applyFont="1" applyAlignment="1">
      <alignment horizontal="center"/>
    </xf>
    <xf numFmtId="1" fontId="51" fillId="0" borderId="0" xfId="0" applyNumberFormat="1" applyFont="1"/>
    <xf numFmtId="167" fontId="51" fillId="0" borderId="0" xfId="0" applyNumberFormat="1" applyFont="1"/>
    <xf numFmtId="0" fontId="0" fillId="6" borderId="16" xfId="0" applyFill="1" applyBorder="1"/>
    <xf numFmtId="1" fontId="0" fillId="6" borderId="17" xfId="0" applyNumberFormat="1" applyFill="1" applyBorder="1"/>
    <xf numFmtId="0" fontId="1" fillId="6" borderId="17" xfId="0" applyFont="1" applyFill="1" applyBorder="1"/>
    <xf numFmtId="1" fontId="0" fillId="6" borderId="18" xfId="0" applyNumberFormat="1" applyFill="1" applyBorder="1"/>
    <xf numFmtId="14" fontId="0" fillId="0" borderId="0" xfId="0" applyNumberFormat="1" applyBorder="1" applyAlignment="1">
      <alignment horizontal="right"/>
    </xf>
    <xf numFmtId="0" fontId="10" fillId="11" borderId="38" xfId="3" applyFont="1" applyFill="1" applyBorder="1" applyAlignment="1">
      <alignment horizontal="center" vertical="top"/>
    </xf>
    <xf numFmtId="170" fontId="0" fillId="0" borderId="49" xfId="0" applyNumberFormat="1" applyBorder="1"/>
    <xf numFmtId="170" fontId="0" fillId="0" borderId="38" xfId="0" applyNumberFormat="1" applyBorder="1"/>
    <xf numFmtId="170" fontId="26" fillId="0" borderId="54" xfId="0" applyNumberFormat="1" applyFont="1" applyBorder="1"/>
    <xf numFmtId="170" fontId="0" fillId="0" borderId="0" xfId="0" applyNumberFormat="1"/>
    <xf numFmtId="170" fontId="0" fillId="0" borderId="2" xfId="0" applyNumberFormat="1" applyFill="1" applyBorder="1"/>
    <xf numFmtId="170" fontId="0" fillId="0" borderId="0" xfId="0" applyNumberFormat="1" applyFill="1" applyBorder="1"/>
    <xf numFmtId="170" fontId="26" fillId="0" borderId="38" xfId="0" applyNumberFormat="1" applyFont="1" applyFill="1" applyBorder="1"/>
    <xf numFmtId="170" fontId="0" fillId="0" borderId="38" xfId="0" applyNumberFormat="1" applyFill="1" applyBorder="1"/>
    <xf numFmtId="170" fontId="0" fillId="0" borderId="17" xfId="0" applyNumberFormat="1" applyBorder="1"/>
    <xf numFmtId="170" fontId="0" fillId="17" borderId="17" xfId="0" applyNumberFormat="1" applyFill="1" applyBorder="1"/>
    <xf numFmtId="9" fontId="0" fillId="0" borderId="0" xfId="0" applyNumberFormat="1"/>
    <xf numFmtId="2" fontId="0" fillId="0" borderId="48" xfId="0" applyNumberFormat="1" applyBorder="1"/>
    <xf numFmtId="0" fontId="0" fillId="0" borderId="50" xfId="0" applyBorder="1"/>
    <xf numFmtId="2" fontId="0" fillId="0" borderId="53" xfId="0" applyNumberFormat="1" applyBorder="1"/>
    <xf numFmtId="2" fontId="1" fillId="20" borderId="0" xfId="0" applyNumberFormat="1" applyFont="1" applyFill="1" applyBorder="1"/>
    <xf numFmtId="0" fontId="24" fillId="0" borderId="38" xfId="3" applyFont="1" applyBorder="1" applyAlignment="1">
      <alignment wrapText="1"/>
    </xf>
    <xf numFmtId="49" fontId="24" fillId="0" borderId="38" xfId="3" applyNumberFormat="1" applyFont="1" applyBorder="1" applyAlignment="1">
      <alignment horizontal="center" shrinkToFit="1"/>
    </xf>
    <xf numFmtId="4" fontId="24" fillId="0" borderId="38" xfId="3" applyNumberFormat="1" applyFont="1" applyBorder="1" applyAlignment="1">
      <alignment horizontal="right"/>
    </xf>
    <xf numFmtId="4" fontId="24" fillId="0" borderId="38" xfId="3" applyNumberFormat="1" applyFont="1" applyBorder="1"/>
    <xf numFmtId="0" fontId="53" fillId="0" borderId="0" xfId="0" applyFont="1"/>
    <xf numFmtId="0" fontId="53" fillId="0" borderId="0" xfId="0" applyFont="1" applyAlignment="1">
      <alignment wrapText="1"/>
    </xf>
    <xf numFmtId="0" fontId="53" fillId="0" borderId="82" xfId="0" applyFont="1" applyBorder="1" applyAlignment="1">
      <alignment vertical="top" wrapText="1"/>
    </xf>
    <xf numFmtId="0" fontId="53" fillId="0" borderId="83" xfId="0" applyFont="1" applyBorder="1" applyAlignment="1">
      <alignment vertical="top" wrapText="1"/>
    </xf>
    <xf numFmtId="0" fontId="53" fillId="0" borderId="84" xfId="0" applyFont="1" applyBorder="1" applyAlignment="1">
      <alignment vertical="top" wrapText="1"/>
    </xf>
    <xf numFmtId="0" fontId="53" fillId="0" borderId="85" xfId="0" applyFont="1" applyBorder="1" applyAlignment="1">
      <alignment vertical="top" wrapText="1"/>
    </xf>
    <xf numFmtId="0" fontId="64" fillId="0" borderId="0" xfId="0" applyFont="1" applyAlignment="1">
      <alignment wrapText="1"/>
    </xf>
    <xf numFmtId="0" fontId="65" fillId="0" borderId="0" xfId="0" applyFont="1" applyAlignment="1">
      <alignment wrapText="1"/>
    </xf>
    <xf numFmtId="0" fontId="54" fillId="0" borderId="0" xfId="0" applyFont="1" applyAlignment="1">
      <alignment wrapText="1"/>
    </xf>
    <xf numFmtId="0" fontId="55" fillId="0" borderId="0" xfId="0" applyFont="1" applyAlignment="1">
      <alignment horizontal="left" wrapText="1" indent="2"/>
    </xf>
    <xf numFmtId="0" fontId="0" fillId="0" borderId="0" xfId="0" applyAlignment="1">
      <alignment wrapText="1"/>
    </xf>
    <xf numFmtId="0" fontId="53" fillId="0" borderId="0" xfId="0" applyFont="1" applyAlignment="1">
      <alignment horizontal="left" wrapText="1" indent="1"/>
    </xf>
    <xf numFmtId="0" fontId="56" fillId="0" borderId="0" xfId="0" applyFont="1" applyAlignment="1">
      <alignment horizontal="left" indent="4"/>
    </xf>
    <xf numFmtId="0" fontId="53" fillId="0" borderId="0" xfId="0" applyFont="1" applyAlignment="1">
      <alignment horizontal="left" indent="4"/>
    </xf>
    <xf numFmtId="0" fontId="0" fillId="0" borderId="0" xfId="0" applyAlignment="1">
      <alignment horizontal="left" indent="4"/>
    </xf>
    <xf numFmtId="49" fontId="11" fillId="0" borderId="74" xfId="3" applyNumberFormat="1" applyFont="1" applyBorder="1" applyAlignment="1">
      <alignment horizontal="left" vertical="top"/>
    </xf>
    <xf numFmtId="49" fontId="19" fillId="0" borderId="74" xfId="3" applyNumberFormat="1" applyFont="1" applyBorder="1" applyAlignment="1">
      <alignment horizontal="center" shrinkToFit="1"/>
    </xf>
    <xf numFmtId="4" fontId="19" fillId="0" borderId="74" xfId="3" applyNumberFormat="1" applyFont="1" applyBorder="1" applyAlignment="1">
      <alignment horizontal="right"/>
    </xf>
    <xf numFmtId="0" fontId="11" fillId="13" borderId="74" xfId="3" applyFont="1" applyFill="1" applyBorder="1" applyAlignment="1">
      <alignment wrapText="1"/>
    </xf>
    <xf numFmtId="49" fontId="11" fillId="0" borderId="38" xfId="3" applyNumberFormat="1" applyFont="1" applyBorder="1" applyAlignment="1">
      <alignment horizontal="left"/>
    </xf>
    <xf numFmtId="49" fontId="11" fillId="0" borderId="38" xfId="3" applyNumberFormat="1" applyFont="1" applyBorder="1" applyAlignment="1">
      <alignment horizontal="left" vertical="center"/>
    </xf>
    <xf numFmtId="49" fontId="11" fillId="0" borderId="74" xfId="3" applyNumberFormat="1" applyFont="1" applyBorder="1" applyAlignment="1">
      <alignment horizontal="left" vertical="center"/>
    </xf>
    <xf numFmtId="49" fontId="11" fillId="0" borderId="38" xfId="3" applyNumberFormat="1" applyFont="1" applyFill="1" applyBorder="1" applyAlignment="1">
      <alignment horizontal="left"/>
    </xf>
    <xf numFmtId="0" fontId="10" fillId="12" borderId="72" xfId="3" applyFont="1" applyFill="1" applyBorder="1" applyAlignment="1">
      <alignment horizontal="center" vertical="top"/>
    </xf>
    <xf numFmtId="49" fontId="11" fillId="12" borderId="72" xfId="3" applyNumberFormat="1" applyFont="1" applyFill="1" applyBorder="1" applyAlignment="1">
      <alignment horizontal="left" vertical="top"/>
    </xf>
    <xf numFmtId="0" fontId="11" fillId="12" borderId="72" xfId="3" applyFont="1" applyFill="1" applyBorder="1" applyAlignment="1">
      <alignment wrapText="1"/>
    </xf>
    <xf numFmtId="49" fontId="19" fillId="12" borderId="72" xfId="3" applyNumberFormat="1" applyFont="1" applyFill="1" applyBorder="1" applyAlignment="1">
      <alignment horizontal="center" shrinkToFit="1"/>
    </xf>
    <xf numFmtId="4" fontId="19" fillId="12" borderId="72" xfId="3" applyNumberFormat="1" applyFont="1" applyFill="1" applyBorder="1" applyAlignment="1">
      <alignment horizontal="right"/>
    </xf>
    <xf numFmtId="0" fontId="10" fillId="0" borderId="72" xfId="3" applyFont="1" applyBorder="1" applyAlignment="1">
      <alignment horizontal="center" vertical="top"/>
    </xf>
    <xf numFmtId="49" fontId="11" fillId="0" borderId="72" xfId="3" applyNumberFormat="1" applyFont="1" applyBorder="1" applyAlignment="1">
      <alignment horizontal="left" vertical="top"/>
    </xf>
    <xf numFmtId="0" fontId="11" fillId="13" borderId="72" xfId="3" applyFont="1" applyFill="1" applyBorder="1" applyAlignment="1">
      <alignment wrapText="1"/>
    </xf>
    <xf numFmtId="49" fontId="19" fillId="0" borderId="72" xfId="3" applyNumberFormat="1" applyFont="1" applyBorder="1" applyAlignment="1">
      <alignment horizontal="center" shrinkToFit="1"/>
    </xf>
    <xf numFmtId="4" fontId="19" fillId="0" borderId="72" xfId="3" applyNumberFormat="1" applyFont="1" applyBorder="1" applyAlignment="1">
      <alignment horizontal="right"/>
    </xf>
    <xf numFmtId="0" fontId="3" fillId="8" borderId="16" xfId="3" applyFill="1" applyBorder="1" applyAlignment="1">
      <alignment horizontal="center"/>
    </xf>
    <xf numFmtId="49" fontId="6" fillId="8" borderId="17" xfId="3" applyNumberFormat="1" applyFont="1" applyFill="1" applyBorder="1" applyAlignment="1">
      <alignment horizontal="left"/>
    </xf>
    <xf numFmtId="0" fontId="6" fillId="8" borderId="17" xfId="3" applyFont="1" applyFill="1" applyBorder="1"/>
    <xf numFmtId="0" fontId="3" fillId="8" borderId="17" xfId="3" applyFill="1" applyBorder="1" applyAlignment="1">
      <alignment horizontal="center"/>
    </xf>
    <xf numFmtId="4" fontId="3" fillId="8" borderId="17" xfId="3" applyNumberFormat="1" applyFill="1" applyBorder="1" applyAlignment="1">
      <alignment horizontal="right"/>
    </xf>
    <xf numFmtId="4" fontId="8" fillId="8" borderId="18" xfId="3" applyNumberFormat="1" applyFont="1" applyFill="1" applyBorder="1" applyAlignment="1">
      <alignment horizontal="right"/>
    </xf>
    <xf numFmtId="0" fontId="11" fillId="13" borderId="38" xfId="3" applyFont="1" applyFill="1" applyBorder="1" applyAlignment="1">
      <alignment vertical="center" wrapText="1"/>
    </xf>
    <xf numFmtId="0" fontId="10" fillId="0" borderId="35" xfId="3" applyFont="1" applyBorder="1"/>
    <xf numFmtId="0" fontId="10" fillId="0" borderId="0" xfId="3" applyFont="1" applyAlignment="1"/>
    <xf numFmtId="0" fontId="10" fillId="6" borderId="32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4" fontId="10" fillId="12" borderId="72" xfId="3" applyNumberFormat="1" applyFont="1" applyFill="1" applyBorder="1" applyAlignment="1">
      <alignment horizontal="right"/>
    </xf>
    <xf numFmtId="4" fontId="10" fillId="0" borderId="38" xfId="3" applyNumberFormat="1" applyFont="1" applyBorder="1"/>
    <xf numFmtId="4" fontId="10" fillId="0" borderId="72" xfId="3" applyNumberFormat="1" applyFont="1" applyBorder="1"/>
    <xf numFmtId="4" fontId="10" fillId="0" borderId="74" xfId="3" applyNumberFormat="1" applyFont="1" applyBorder="1"/>
    <xf numFmtId="4" fontId="8" fillId="12" borderId="18" xfId="3" applyNumberFormat="1" applyFont="1" applyFill="1" applyBorder="1"/>
    <xf numFmtId="0" fontId="10" fillId="0" borderId="0" xfId="3" applyFont="1"/>
    <xf numFmtId="0" fontId="10" fillId="0" borderId="0" xfId="3" applyFont="1" applyBorder="1"/>
    <xf numFmtId="4" fontId="60" fillId="0" borderId="0" xfId="3" applyNumberFormat="1" applyFont="1" applyBorder="1"/>
    <xf numFmtId="0" fontId="11" fillId="13" borderId="74" xfId="3" applyFont="1" applyFill="1" applyBorder="1" applyAlignment="1">
      <alignment vertical="center" wrapText="1"/>
    </xf>
    <xf numFmtId="0" fontId="11" fillId="0" borderId="72" xfId="3" applyFont="1" applyBorder="1" applyAlignment="1">
      <alignment wrapText="1"/>
    </xf>
    <xf numFmtId="0" fontId="3" fillId="12" borderId="16" xfId="3" applyFill="1" applyBorder="1" applyAlignment="1">
      <alignment horizontal="center"/>
    </xf>
    <xf numFmtId="49" fontId="6" fillId="12" borderId="17" xfId="3" applyNumberFormat="1" applyFont="1" applyFill="1" applyBorder="1" applyAlignment="1">
      <alignment horizontal="left"/>
    </xf>
    <xf numFmtId="0" fontId="6" fillId="12" borderId="17" xfId="3" applyFont="1" applyFill="1" applyBorder="1"/>
    <xf numFmtId="0" fontId="3" fillId="12" borderId="17" xfId="3" applyFill="1" applyBorder="1" applyAlignment="1">
      <alignment horizontal="center"/>
    </xf>
    <xf numFmtId="4" fontId="3" fillId="12" borderId="17" xfId="3" applyNumberFormat="1" applyFill="1" applyBorder="1" applyAlignment="1">
      <alignment horizontal="right"/>
    </xf>
    <xf numFmtId="0" fontId="8" fillId="8" borderId="13" xfId="3" applyFont="1" applyFill="1" applyBorder="1" applyAlignment="1">
      <alignment horizontal="center"/>
    </xf>
    <xf numFmtId="49" fontId="8" fillId="8" borderId="12" xfId="3" applyNumberFormat="1" applyFont="1" applyFill="1" applyBorder="1" applyAlignment="1">
      <alignment horizontal="left"/>
    </xf>
    <xf numFmtId="0" fontId="8" fillId="8" borderId="12" xfId="3" applyFont="1" applyFill="1" applyBorder="1"/>
    <xf numFmtId="0" fontId="10" fillId="8" borderId="12" xfId="3" applyFont="1" applyFill="1" applyBorder="1" applyAlignment="1">
      <alignment horizontal="center"/>
    </xf>
    <xf numFmtId="0" fontId="10" fillId="8" borderId="12" xfId="3" applyNumberFormat="1" applyFont="1" applyFill="1" applyBorder="1" applyAlignment="1">
      <alignment horizontal="right"/>
    </xf>
    <xf numFmtId="0" fontId="10" fillId="8" borderId="25" xfId="3" applyNumberFormat="1" applyFont="1" applyFill="1" applyBorder="1"/>
    <xf numFmtId="0" fontId="8" fillId="12" borderId="13" xfId="3" applyFont="1" applyFill="1" applyBorder="1" applyAlignment="1">
      <alignment horizontal="center"/>
    </xf>
    <xf numFmtId="49" fontId="8" fillId="12" borderId="12" xfId="3" applyNumberFormat="1" applyFont="1" applyFill="1" applyBorder="1" applyAlignment="1">
      <alignment horizontal="left"/>
    </xf>
    <xf numFmtId="49" fontId="8" fillId="12" borderId="12" xfId="3" applyNumberFormat="1" applyFont="1" applyFill="1" applyBorder="1"/>
    <xf numFmtId="0" fontId="3" fillId="12" borderId="12" xfId="3" applyFill="1" applyBorder="1" applyAlignment="1">
      <alignment horizontal="center"/>
    </xf>
    <xf numFmtId="0" fontId="3" fillId="12" borderId="12" xfId="3" applyNumberFormat="1" applyFill="1" applyBorder="1" applyAlignment="1">
      <alignment horizontal="right"/>
    </xf>
    <xf numFmtId="0" fontId="10" fillId="12" borderId="25" xfId="3" applyNumberFormat="1" applyFont="1" applyFill="1" applyBorder="1"/>
    <xf numFmtId="49" fontId="11" fillId="0" borderId="38" xfId="3" applyNumberFormat="1" applyFont="1" applyFill="1" applyBorder="1" applyAlignment="1">
      <alignment horizontal="left" vertical="center"/>
    </xf>
    <xf numFmtId="0" fontId="22" fillId="0" borderId="0" xfId="1" applyBorder="1" applyAlignment="1" applyProtection="1"/>
    <xf numFmtId="4" fontId="12" fillId="0" borderId="38" xfId="0" applyNumberFormat="1" applyFont="1" applyFill="1" applyBorder="1"/>
    <xf numFmtId="4" fontId="19" fillId="11" borderId="38" xfId="3" applyNumberFormat="1" applyFont="1" applyFill="1" applyBorder="1"/>
    <xf numFmtId="165" fontId="1" fillId="0" borderId="38" xfId="0" applyNumberFormat="1" applyFont="1" applyBorder="1"/>
    <xf numFmtId="0" fontId="63" fillId="0" borderId="0" xfId="0" applyFont="1" applyBorder="1"/>
    <xf numFmtId="0" fontId="66" fillId="0" borderId="0" xfId="0" applyFont="1" applyAlignment="1">
      <alignment horizontal="left" indent="3"/>
    </xf>
    <xf numFmtId="2" fontId="0" fillId="0" borderId="17" xfId="0" applyNumberFormat="1" applyBorder="1"/>
    <xf numFmtId="0" fontId="1" fillId="0" borderId="46" xfId="0" applyFont="1" applyBorder="1"/>
    <xf numFmtId="1" fontId="1" fillId="11" borderId="81" xfId="0" applyNumberFormat="1" applyFont="1" applyFill="1" applyBorder="1"/>
    <xf numFmtId="0" fontId="1" fillId="0" borderId="80" xfId="0" applyFont="1" applyBorder="1"/>
    <xf numFmtId="1" fontId="8" fillId="0" borderId="81" xfId="0" applyNumberFormat="1" applyFont="1" applyBorder="1"/>
    <xf numFmtId="0" fontId="8" fillId="0" borderId="40" xfId="0" applyFont="1" applyBorder="1"/>
    <xf numFmtId="1" fontId="1" fillId="0" borderId="40" xfId="0" applyNumberFormat="1" applyFont="1" applyBorder="1"/>
    <xf numFmtId="0" fontId="0" fillId="0" borderId="45" xfId="0" applyBorder="1"/>
    <xf numFmtId="1" fontId="28" fillId="0" borderId="81" xfId="0" applyNumberFormat="1" applyFont="1" applyBorder="1"/>
    <xf numFmtId="0" fontId="28" fillId="0" borderId="40" xfId="0" applyFont="1" applyBorder="1"/>
    <xf numFmtId="1" fontId="0" fillId="11" borderId="55" xfId="0" applyNumberFormat="1" applyFill="1" applyBorder="1"/>
    <xf numFmtId="1" fontId="8" fillId="0" borderId="55" xfId="0" applyNumberFormat="1" applyFont="1" applyBorder="1"/>
    <xf numFmtId="0" fontId="8" fillId="0" borderId="23" xfId="0" applyFont="1" applyBorder="1"/>
    <xf numFmtId="0" fontId="1" fillId="0" borderId="23" xfId="0" applyFont="1" applyBorder="1"/>
    <xf numFmtId="1" fontId="0" fillId="0" borderId="73" xfId="0" applyNumberFormat="1" applyBorder="1"/>
    <xf numFmtId="1" fontId="1" fillId="0" borderId="65" xfId="0" applyNumberFormat="1" applyFont="1" applyBorder="1"/>
    <xf numFmtId="0" fontId="1" fillId="0" borderId="63" xfId="0" applyFont="1" applyBorder="1"/>
    <xf numFmtId="1" fontId="28" fillId="0" borderId="65" xfId="0" applyNumberFormat="1" applyFont="1" applyBorder="1"/>
    <xf numFmtId="0" fontId="28" fillId="0" borderId="63" xfId="0" applyFont="1" applyBorder="1"/>
    <xf numFmtId="2" fontId="0" fillId="0" borderId="63" xfId="0" applyNumberFormat="1" applyBorder="1"/>
    <xf numFmtId="0" fontId="0" fillId="0" borderId="63" xfId="0" applyBorder="1"/>
    <xf numFmtId="1" fontId="1" fillId="0" borderId="63" xfId="0" applyNumberFormat="1" applyFont="1" applyBorder="1"/>
    <xf numFmtId="1" fontId="41" fillId="0" borderId="64" xfId="0" applyNumberFormat="1" applyFont="1" applyBorder="1"/>
    <xf numFmtId="0" fontId="41" fillId="0" borderId="0" xfId="0" applyFont="1" applyBorder="1"/>
    <xf numFmtId="0" fontId="0" fillId="0" borderId="86" xfId="0" applyBorder="1"/>
    <xf numFmtId="0" fontId="1" fillId="0" borderId="28" xfId="0" applyFont="1" applyBorder="1"/>
    <xf numFmtId="0" fontId="8" fillId="0" borderId="28" xfId="0" applyFont="1" applyBorder="1"/>
    <xf numFmtId="0" fontId="8" fillId="0" borderId="2" xfId="0" applyFont="1" applyBorder="1"/>
    <xf numFmtId="0" fontId="26" fillId="0" borderId="27" xfId="0" applyFont="1" applyBorder="1"/>
    <xf numFmtId="0" fontId="0" fillId="0" borderId="3" xfId="0" applyFill="1" applyBorder="1"/>
    <xf numFmtId="0" fontId="26" fillId="0" borderId="52" xfId="0" applyFont="1" applyFill="1" applyBorder="1"/>
    <xf numFmtId="0" fontId="0" fillId="0" borderId="52" xfId="0" applyFill="1" applyBorder="1"/>
    <xf numFmtId="1" fontId="0" fillId="0" borderId="52" xfId="0" applyNumberFormat="1" applyFill="1" applyBorder="1"/>
    <xf numFmtId="0" fontId="0" fillId="0" borderId="60" xfId="0" applyFill="1" applyBorder="1"/>
    <xf numFmtId="0" fontId="0" fillId="0" borderId="74" xfId="0" applyFill="1" applyBorder="1"/>
    <xf numFmtId="170" fontId="0" fillId="0" borderId="74" xfId="0" applyNumberFormat="1" applyFill="1" applyBorder="1"/>
    <xf numFmtId="0" fontId="0" fillId="0" borderId="21" xfId="0" applyFill="1" applyBorder="1"/>
    <xf numFmtId="0" fontId="0" fillId="0" borderId="53" xfId="0" applyFill="1" applyBorder="1"/>
    <xf numFmtId="0" fontId="0" fillId="0" borderId="54" xfId="0" applyFill="1" applyBorder="1"/>
    <xf numFmtId="170" fontId="0" fillId="0" borderId="54" xfId="0" applyNumberFormat="1" applyFill="1" applyBorder="1"/>
    <xf numFmtId="0" fontId="0" fillId="0" borderId="27" xfId="0" applyFill="1" applyBorder="1"/>
    <xf numFmtId="170" fontId="0" fillId="0" borderId="0" xfId="0" applyNumberFormat="1" applyBorder="1"/>
    <xf numFmtId="0" fontId="26" fillId="0" borderId="0" xfId="0" applyFont="1" applyBorder="1"/>
    <xf numFmtId="170" fontId="26" fillId="0" borderId="0" xfId="0" applyNumberFormat="1" applyFont="1" applyBorder="1"/>
    <xf numFmtId="1" fontId="0" fillId="15" borderId="0" xfId="0" applyNumberFormat="1" applyFill="1"/>
    <xf numFmtId="0" fontId="26" fillId="0" borderId="53" xfId="0" applyFont="1" applyFill="1" applyBorder="1"/>
    <xf numFmtId="0" fontId="26" fillId="0" borderId="54" xfId="0" applyFont="1" applyFill="1" applyBorder="1"/>
    <xf numFmtId="1" fontId="26" fillId="0" borderId="27" xfId="0" applyNumberFormat="1" applyFont="1" applyFill="1" applyBorder="1"/>
    <xf numFmtId="9" fontId="0" fillId="0" borderId="0" xfId="4" applyFont="1"/>
    <xf numFmtId="165" fontId="0" fillId="0" borderId="8" xfId="0" applyNumberFormat="1" applyBorder="1"/>
    <xf numFmtId="0" fontId="9" fillId="9" borderId="64" xfId="0" applyFont="1" applyFill="1" applyBorder="1"/>
    <xf numFmtId="0" fontId="53" fillId="0" borderId="0" xfId="0" applyFont="1" applyAlignment="1"/>
    <xf numFmtId="3" fontId="10" fillId="0" borderId="44" xfId="0" applyNumberFormat="1" applyFont="1" applyBorder="1"/>
    <xf numFmtId="0" fontId="8" fillId="0" borderId="36" xfId="0" applyFont="1" applyFill="1" applyBorder="1"/>
    <xf numFmtId="4" fontId="2" fillId="12" borderId="42" xfId="0" applyNumberFormat="1" applyFont="1" applyFill="1" applyBorder="1"/>
    <xf numFmtId="49" fontId="11" fillId="0" borderId="38" xfId="3" applyNumberFormat="1" applyFont="1" applyBorder="1" applyAlignment="1">
      <alignment horizontal="left" vertical="center" wrapText="1"/>
    </xf>
    <xf numFmtId="2" fontId="1" fillId="11" borderId="17" xfId="0" applyNumberFormat="1" applyFont="1" applyFill="1" applyBorder="1"/>
    <xf numFmtId="2" fontId="0" fillId="11" borderId="5" xfId="0" applyNumberFormat="1" applyFill="1" applyBorder="1"/>
    <xf numFmtId="2" fontId="2" fillId="11" borderId="17" xfId="0" applyNumberFormat="1" applyFont="1" applyFill="1" applyBorder="1"/>
    <xf numFmtId="2" fontId="2" fillId="11" borderId="40" xfId="0" applyNumberFormat="1" applyFont="1" applyFill="1" applyBorder="1"/>
    <xf numFmtId="2" fontId="1" fillId="11" borderId="0" xfId="0" applyNumberFormat="1" applyFont="1" applyFill="1" applyBorder="1"/>
    <xf numFmtId="2" fontId="1" fillId="11" borderId="2" xfId="0" applyNumberFormat="1" applyFont="1" applyFill="1" applyBorder="1"/>
    <xf numFmtId="2" fontId="1" fillId="11" borderId="40" xfId="0" applyNumberFormat="1" applyFont="1" applyFill="1" applyBorder="1"/>
    <xf numFmtId="2" fontId="1" fillId="11" borderId="42" xfId="0" applyNumberFormat="1" applyFont="1" applyFill="1" applyBorder="1"/>
    <xf numFmtId="2" fontId="0" fillId="11" borderId="0" xfId="0" applyNumberFormat="1" applyFill="1" applyBorder="1"/>
    <xf numFmtId="2" fontId="1" fillId="11" borderId="17" xfId="0" applyNumberFormat="1" applyFont="1" applyFill="1" applyBorder="1" applyAlignment="1">
      <alignment horizontal="right"/>
    </xf>
    <xf numFmtId="2" fontId="1" fillId="11" borderId="18" xfId="0" applyNumberFormat="1" applyFont="1" applyFill="1" applyBorder="1"/>
    <xf numFmtId="1" fontId="1" fillId="21" borderId="0" xfId="0" applyNumberFormat="1" applyFont="1" applyFill="1" applyBorder="1"/>
    <xf numFmtId="0" fontId="0" fillId="11" borderId="0" xfId="0" applyFill="1"/>
    <xf numFmtId="0" fontId="0" fillId="11" borderId="50" xfId="0" applyFill="1" applyBorder="1"/>
    <xf numFmtId="3" fontId="8" fillId="2" borderId="46" xfId="0" applyNumberFormat="1" applyFont="1" applyFill="1" applyBorder="1"/>
    <xf numFmtId="0" fontId="66" fillId="0" borderId="0" xfId="0" applyFont="1"/>
    <xf numFmtId="0" fontId="0" fillId="0" borderId="0" xfId="0" applyFont="1"/>
    <xf numFmtId="0" fontId="67" fillId="0" borderId="0" xfId="0" applyFont="1"/>
    <xf numFmtId="0" fontId="68" fillId="0" borderId="0" xfId="0" applyFont="1"/>
    <xf numFmtId="0" fontId="1" fillId="0" borderId="43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1" fillId="0" borderId="0" xfId="0" applyFont="1" applyAlignment="1">
      <alignment vertical="center"/>
    </xf>
    <xf numFmtId="0" fontId="33" fillId="0" borderId="0" xfId="0" applyFont="1" applyAlignment="1"/>
    <xf numFmtId="0" fontId="1" fillId="0" borderId="0" xfId="0" applyFont="1" applyAlignment="1"/>
    <xf numFmtId="49" fontId="8" fillId="8" borderId="12" xfId="3" applyNumberFormat="1" applyFont="1" applyFill="1" applyBorder="1"/>
    <xf numFmtId="0" fontId="3" fillId="8" borderId="12" xfId="3" applyFill="1" applyBorder="1" applyAlignment="1">
      <alignment horizontal="center"/>
    </xf>
    <xf numFmtId="0" fontId="3" fillId="8" borderId="12" xfId="3" applyNumberFormat="1" applyFill="1" applyBorder="1" applyAlignment="1">
      <alignment horizontal="right"/>
    </xf>
    <xf numFmtId="4" fontId="8" fillId="8" borderId="18" xfId="3" applyNumberFormat="1" applyFont="1" applyFill="1" applyBorder="1"/>
    <xf numFmtId="0" fontId="10" fillId="2" borderId="38" xfId="3" applyFont="1" applyFill="1" applyBorder="1" applyAlignment="1">
      <alignment horizontal="center" vertical="top"/>
    </xf>
    <xf numFmtId="0" fontId="10" fillId="2" borderId="74" xfId="3" applyFont="1" applyFill="1" applyBorder="1" applyAlignment="1">
      <alignment horizontal="center" vertical="top"/>
    </xf>
    <xf numFmtId="1" fontId="6" fillId="0" borderId="0" xfId="3" applyNumberFormat="1" applyFont="1" applyBorder="1"/>
    <xf numFmtId="0" fontId="0" fillId="23" borderId="1" xfId="0" applyFill="1" applyBorder="1"/>
    <xf numFmtId="0" fontId="0" fillId="23" borderId="2" xfId="0" applyFill="1" applyBorder="1"/>
    <xf numFmtId="0" fontId="0" fillId="23" borderId="3" xfId="0" applyFill="1" applyBorder="1"/>
    <xf numFmtId="0" fontId="0" fillId="23" borderId="39" xfId="0" applyFill="1" applyBorder="1"/>
    <xf numFmtId="0" fontId="0" fillId="23" borderId="40" xfId="0" applyFill="1" applyBorder="1"/>
    <xf numFmtId="0" fontId="0" fillId="23" borderId="41" xfId="0" applyFill="1" applyBorder="1"/>
    <xf numFmtId="0" fontId="0" fillId="23" borderId="0" xfId="0" applyFill="1"/>
    <xf numFmtId="0" fontId="22" fillId="23" borderId="38" xfId="1" applyFill="1" applyBorder="1" applyAlignment="1" applyProtection="1"/>
    <xf numFmtId="0" fontId="22" fillId="23" borderId="0" xfId="1" applyFill="1" applyAlignment="1" applyProtection="1"/>
    <xf numFmtId="3" fontId="0" fillId="23" borderId="38" xfId="0" applyNumberFormat="1" applyFill="1" applyBorder="1"/>
    <xf numFmtId="3" fontId="0" fillId="23" borderId="0" xfId="0" applyNumberFormat="1" applyFill="1"/>
    <xf numFmtId="0" fontId="0" fillId="23" borderId="16" xfId="0" applyFill="1" applyBorder="1"/>
    <xf numFmtId="0" fontId="0" fillId="23" borderId="17" xfId="0" applyFill="1" applyBorder="1"/>
    <xf numFmtId="0" fontId="0" fillId="23" borderId="18" xfId="0" applyFill="1" applyBorder="1"/>
    <xf numFmtId="0" fontId="0" fillId="0" borderId="19" xfId="0" applyFill="1" applyBorder="1"/>
    <xf numFmtId="0" fontId="0" fillId="0" borderId="37" xfId="0" applyFill="1" applyBorder="1"/>
    <xf numFmtId="170" fontId="1" fillId="0" borderId="0" xfId="0" applyNumberFormat="1" applyFont="1" applyBorder="1"/>
    <xf numFmtId="171" fontId="0" fillId="0" borderId="0" xfId="0" applyNumberFormat="1" applyBorder="1"/>
    <xf numFmtId="9" fontId="0" fillId="0" borderId="0" xfId="0" applyNumberFormat="1" applyBorder="1"/>
    <xf numFmtId="0" fontId="0" fillId="24" borderId="0" xfId="0" applyFill="1" applyBorder="1"/>
    <xf numFmtId="1" fontId="0" fillId="24" borderId="0" xfId="0" applyNumberFormat="1" applyFill="1" applyBorder="1"/>
    <xf numFmtId="0" fontId="1" fillId="24" borderId="0" xfId="0" applyFont="1" applyFill="1" applyBorder="1"/>
    <xf numFmtId="0" fontId="26" fillId="24" borderId="0" xfId="0" applyFont="1" applyFill="1" applyBorder="1"/>
    <xf numFmtId="2" fontId="0" fillId="25" borderId="0" xfId="0" applyNumberFormat="1" applyFill="1"/>
    <xf numFmtId="3" fontId="0" fillId="0" borderId="0" xfId="0" applyNumberFormat="1" applyBorder="1"/>
    <xf numFmtId="14" fontId="0" fillId="0" borderId="0" xfId="0" applyNumberFormat="1" applyBorder="1"/>
    <xf numFmtId="0" fontId="69" fillId="0" borderId="0" xfId="0" applyFont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0" fontId="0" fillId="0" borderId="6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8" fillId="0" borderId="66" xfId="3" applyNumberFormat="1" applyFont="1" applyFill="1" applyBorder="1" applyAlignment="1">
      <alignment horizontal="center" vertical="center"/>
    </xf>
    <xf numFmtId="4" fontId="8" fillId="0" borderId="18" xfId="3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" fontId="1" fillId="0" borderId="66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0" fillId="0" borderId="6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/>
    </xf>
    <xf numFmtId="0" fontId="0" fillId="0" borderId="6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6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33" fillId="22" borderId="53" xfId="0" applyFont="1" applyFill="1" applyBorder="1" applyAlignment="1">
      <alignment horizontal="center"/>
    </xf>
    <xf numFmtId="0" fontId="33" fillId="22" borderId="54" xfId="0" applyFont="1" applyFill="1" applyBorder="1" applyAlignment="1">
      <alignment horizontal="center"/>
    </xf>
    <xf numFmtId="0" fontId="33" fillId="22" borderId="27" xfId="0" applyFon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165" fontId="33" fillId="22" borderId="87" xfId="0" applyNumberFormat="1" applyFont="1" applyFill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50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8" fillId="0" borderId="81" xfId="0" applyFont="1" applyFill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3" fontId="8" fillId="0" borderId="63" xfId="0" applyNumberFormat="1" applyFont="1" applyFill="1" applyBorder="1" applyAlignment="1">
      <alignment horizontal="right"/>
    </xf>
    <xf numFmtId="3" fontId="8" fillId="0" borderId="64" xfId="0" applyNumberFormat="1" applyFont="1" applyFill="1" applyBorder="1" applyAlignment="1">
      <alignment horizontal="right"/>
    </xf>
    <xf numFmtId="0" fontId="3" fillId="0" borderId="0" xfId="3" applyFont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14" fillId="0" borderId="0" xfId="3" applyFont="1" applyAlignment="1">
      <alignment horizontal="center"/>
    </xf>
    <xf numFmtId="0" fontId="3" fillId="0" borderId="88" xfId="3" applyFont="1" applyBorder="1" applyAlignment="1">
      <alignment horizontal="center"/>
    </xf>
    <xf numFmtId="0" fontId="3" fillId="0" borderId="89" xfId="3" applyFont="1" applyBorder="1" applyAlignment="1">
      <alignment horizontal="center"/>
    </xf>
    <xf numFmtId="49" fontId="3" fillId="0" borderId="90" xfId="3" applyNumberFormat="1" applyFont="1" applyBorder="1" applyAlignment="1">
      <alignment horizontal="center"/>
    </xf>
    <xf numFmtId="0" fontId="3" fillId="0" borderId="91" xfId="3" applyFont="1" applyBorder="1" applyAlignment="1">
      <alignment horizontal="center"/>
    </xf>
    <xf numFmtId="0" fontId="1" fillId="4" borderId="16" xfId="3" applyFont="1" applyFill="1" applyBorder="1" applyAlignment="1">
      <alignment horizontal="center" shrinkToFit="1"/>
    </xf>
    <xf numFmtId="0" fontId="1" fillId="4" borderId="17" xfId="3" applyFont="1" applyFill="1" applyBorder="1" applyAlignment="1">
      <alignment horizontal="center" shrinkToFit="1"/>
    </xf>
    <xf numFmtId="0" fontId="1" fillId="4" borderId="18" xfId="3" applyFont="1" applyFill="1" applyBorder="1" applyAlignment="1">
      <alignment horizontal="center" shrinkToFit="1"/>
    </xf>
    <xf numFmtId="0" fontId="52" fillId="0" borderId="0" xfId="0" applyFont="1" applyAlignment="1">
      <alignment horizontal="right"/>
    </xf>
    <xf numFmtId="0" fontId="70" fillId="0" borderId="0" xfId="0" applyFont="1" applyAlignment="1">
      <alignment wrapText="1"/>
    </xf>
    <xf numFmtId="0" fontId="71" fillId="0" borderId="0" xfId="0" applyFont="1" applyAlignment="1">
      <alignment vertical="top" wrapText="1"/>
    </xf>
    <xf numFmtId="0" fontId="71" fillId="0" borderId="92" xfId="0" applyFont="1" applyBorder="1" applyAlignment="1">
      <alignment vertical="top" wrapText="1"/>
    </xf>
    <xf numFmtId="0" fontId="58" fillId="0" borderId="0" xfId="0" applyFont="1" applyAlignment="1">
      <alignment horizontal="center"/>
    </xf>
  </cellXfs>
  <cellStyles count="5">
    <cellStyle name="Hypertextový odkaz" xfId="1" builtinId="8"/>
    <cellStyle name="měny" xfId="2" builtinId="4"/>
    <cellStyle name="normální" xfId="0" builtinId="0"/>
    <cellStyle name="normální_POL.XLS" xfId="3"/>
    <cellStyle name="pro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30480</xdr:rowOff>
    </xdr:from>
    <xdr:to>
      <xdr:col>6</xdr:col>
      <xdr:colOff>1043940</xdr:colOff>
      <xdr:row>6</xdr:row>
      <xdr:rowOff>45720</xdr:rowOff>
    </xdr:to>
    <xdr:pic>
      <xdr:nvPicPr>
        <xdr:cNvPr id="20624" name="Obrázek 1" descr="Logo v křivkách.eps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5280" y="30480"/>
          <a:ext cx="43662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38100</xdr:rowOff>
    </xdr:from>
    <xdr:to>
      <xdr:col>1</xdr:col>
      <xdr:colOff>891540</xdr:colOff>
      <xdr:row>2</xdr:row>
      <xdr:rowOff>22860</xdr:rowOff>
    </xdr:to>
    <xdr:pic>
      <xdr:nvPicPr>
        <xdr:cNvPr id="21828" name="Obrázek 1" descr="refiz_logotyp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205740"/>
          <a:ext cx="192024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129540</xdr:colOff>
      <xdr:row>46</xdr:row>
      <xdr:rowOff>121920</xdr:rowOff>
    </xdr:to>
    <xdr:pic>
      <xdr:nvPicPr>
        <xdr:cNvPr id="21829" name="Picture 1024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23544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129540</xdr:colOff>
      <xdr:row>50</xdr:row>
      <xdr:rowOff>121920</xdr:rowOff>
    </xdr:to>
    <xdr:pic>
      <xdr:nvPicPr>
        <xdr:cNvPr id="21830" name="Picture 1025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01268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</xdr:colOff>
      <xdr:row>54</xdr:row>
      <xdr:rowOff>121920</xdr:rowOff>
    </xdr:to>
    <xdr:pic>
      <xdr:nvPicPr>
        <xdr:cNvPr id="21831" name="Picture 1026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77468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</xdr:colOff>
      <xdr:row>54</xdr:row>
      <xdr:rowOff>121920</xdr:rowOff>
    </xdr:to>
    <xdr:pic>
      <xdr:nvPicPr>
        <xdr:cNvPr id="21832" name="Picture 1027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77468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1</xdr:col>
      <xdr:colOff>129540</xdr:colOff>
      <xdr:row>99</xdr:row>
      <xdr:rowOff>121920</xdr:rowOff>
    </xdr:to>
    <xdr:pic>
      <xdr:nvPicPr>
        <xdr:cNvPr id="20348" name="Picture 1024" descr="*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440" y="2261616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129540</xdr:colOff>
      <xdr:row>103</xdr:row>
      <xdr:rowOff>121920</xdr:rowOff>
    </xdr:to>
    <xdr:pic>
      <xdr:nvPicPr>
        <xdr:cNvPr id="20349" name="Picture 1025" descr="*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440" y="2337816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129540</xdr:colOff>
      <xdr:row>107</xdr:row>
      <xdr:rowOff>121920</xdr:rowOff>
    </xdr:to>
    <xdr:pic>
      <xdr:nvPicPr>
        <xdr:cNvPr id="20350" name="Picture 1026" descr="*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440" y="2414016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129540</xdr:colOff>
      <xdr:row>111</xdr:row>
      <xdr:rowOff>121920</xdr:rowOff>
    </xdr:to>
    <xdr:pic>
      <xdr:nvPicPr>
        <xdr:cNvPr id="20351" name="Picture 1027" descr="*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440" y="2490216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</xdr:colOff>
      <xdr:row>0</xdr:row>
      <xdr:rowOff>99060</xdr:rowOff>
    </xdr:from>
    <xdr:to>
      <xdr:col>1</xdr:col>
      <xdr:colOff>2537460</xdr:colOff>
      <xdr:row>4</xdr:row>
      <xdr:rowOff>60960</xdr:rowOff>
    </xdr:to>
    <xdr:pic>
      <xdr:nvPicPr>
        <xdr:cNvPr id="20352" name="Obrázek 5" descr="refiz_logotyp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" y="99060"/>
          <a:ext cx="294894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38100</xdr:rowOff>
    </xdr:from>
    <xdr:to>
      <xdr:col>1</xdr:col>
      <xdr:colOff>891540</xdr:colOff>
      <xdr:row>2</xdr:row>
      <xdr:rowOff>22860</xdr:rowOff>
    </xdr:to>
    <xdr:pic>
      <xdr:nvPicPr>
        <xdr:cNvPr id="22684" name="Obrázek 1" descr="refiz_logotyp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205740"/>
          <a:ext cx="192024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129540</xdr:colOff>
      <xdr:row>46</xdr:row>
      <xdr:rowOff>121920</xdr:rowOff>
    </xdr:to>
    <xdr:pic>
      <xdr:nvPicPr>
        <xdr:cNvPr id="22685" name="Picture 1024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23544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129540</xdr:colOff>
      <xdr:row>50</xdr:row>
      <xdr:rowOff>121920</xdr:rowOff>
    </xdr:to>
    <xdr:pic>
      <xdr:nvPicPr>
        <xdr:cNvPr id="22686" name="Picture 1025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01268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</xdr:colOff>
      <xdr:row>54</xdr:row>
      <xdr:rowOff>121920</xdr:rowOff>
    </xdr:to>
    <xdr:pic>
      <xdr:nvPicPr>
        <xdr:cNvPr id="22687" name="Picture 1026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77468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</xdr:colOff>
      <xdr:row>54</xdr:row>
      <xdr:rowOff>121920</xdr:rowOff>
    </xdr:to>
    <xdr:pic>
      <xdr:nvPicPr>
        <xdr:cNvPr id="22688" name="Picture 1027" descr="*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774680"/>
          <a:ext cx="12954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&#225;jek%20Sirius24.9/Investor%20-%20H&#225;jek%20Sirius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estor"/>
      <sheetName val="Průvodce"/>
      <sheetName val="Proč s námi"/>
      <sheetName val="Standardy"/>
      <sheetName val="Krycí list"/>
      <sheetName val="Rozpočet-sumář"/>
      <sheetName val="Položky"/>
      <sheetName val="Okna"/>
      <sheetName val="Výkaz výměr"/>
      <sheetName val="Náklady"/>
      <sheetName val="Vyúčtování"/>
    </sheetNames>
    <sheetDataSet>
      <sheetData sheetId="0"/>
      <sheetData sheetId="1"/>
      <sheetData sheetId="2"/>
      <sheetData sheetId="3"/>
      <sheetData sheetId="4">
        <row r="11">
          <cell r="C11" t="str">
            <v>Rozpočet RD</v>
          </cell>
        </row>
        <row r="13">
          <cell r="C13" t="str">
            <v>Rozpočty RD</v>
          </cell>
        </row>
        <row r="36">
          <cell r="F36">
            <v>2100645</v>
          </cell>
        </row>
      </sheetData>
      <sheetData sheetId="5">
        <row r="21">
          <cell r="E21">
            <v>1329447.7181820001</v>
          </cell>
          <cell r="F21">
            <v>719962.34450000001</v>
          </cell>
          <cell r="G21">
            <v>0</v>
          </cell>
          <cell r="H21">
            <v>0</v>
          </cell>
          <cell r="I21">
            <v>0</v>
          </cell>
        </row>
        <row r="35">
          <cell r="H35">
            <v>51235.25156705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petrak@%20sezmam.cz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refiz.cz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fiz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igips.cz/files/techonologie/TI_131106_Rovinnost_konstrukci_Q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C00000"/>
  </sheetPr>
  <dimension ref="A1:M27"/>
  <sheetViews>
    <sheetView topLeftCell="A7" workbookViewId="0">
      <selection activeCell="H8" sqref="H8"/>
    </sheetView>
  </sheetViews>
  <sheetFormatPr defaultRowHeight="13.2"/>
  <cols>
    <col min="1" max="1" width="15.44140625" customWidth="1"/>
    <col min="2" max="2" width="5" customWidth="1"/>
    <col min="3" max="3" width="22.33203125" customWidth="1"/>
    <col min="4" max="4" width="17.5546875" customWidth="1"/>
    <col min="5" max="5" width="13.33203125" customWidth="1"/>
    <col min="6" max="6" width="13" customWidth="1"/>
    <col min="7" max="7" width="10.33203125" customWidth="1"/>
    <col min="8" max="8" width="11.44140625" customWidth="1"/>
    <col min="9" max="9" width="11" customWidth="1"/>
    <col min="10" max="10" width="10.109375" customWidth="1"/>
    <col min="11" max="11" width="10.88671875" customWidth="1"/>
    <col min="12" max="12" width="11.5546875" customWidth="1"/>
  </cols>
  <sheetData>
    <row r="1" spans="1:6" ht="13.8" thickBot="1">
      <c r="A1" s="421"/>
      <c r="B1" s="121"/>
      <c r="C1" s="121" t="s">
        <v>578</v>
      </c>
      <c r="D1" s="140" t="s">
        <v>497</v>
      </c>
      <c r="E1" t="s">
        <v>580</v>
      </c>
      <c r="F1" t="s">
        <v>581</v>
      </c>
    </row>
    <row r="2" spans="1:6">
      <c r="C2" t="str">
        <f>C7</f>
        <v>Petrák</v>
      </c>
      <c r="D2" t="s">
        <v>646</v>
      </c>
      <c r="E2" s="482">
        <f ca="1">NOW()</f>
        <v>44599.641993171295</v>
      </c>
      <c r="F2" t="s">
        <v>859</v>
      </c>
    </row>
    <row r="3" spans="1:6">
      <c r="D3" t="s">
        <v>647</v>
      </c>
    </row>
    <row r="5" spans="1:6" ht="13.8" thickBot="1">
      <c r="A5" t="s">
        <v>489</v>
      </c>
    </row>
    <row r="6" spans="1:6">
      <c r="A6" s="866" t="s">
        <v>490</v>
      </c>
      <c r="B6" s="867"/>
      <c r="C6" s="868" t="s">
        <v>900</v>
      </c>
    </row>
    <row r="7" spans="1:6" ht="13.8" thickBot="1">
      <c r="A7" s="869" t="s">
        <v>491</v>
      </c>
      <c r="B7" s="870"/>
      <c r="C7" s="871" t="s">
        <v>899</v>
      </c>
    </row>
    <row r="9" spans="1:6">
      <c r="A9" t="s">
        <v>492</v>
      </c>
    </row>
    <row r="10" spans="1:6">
      <c r="A10" t="s">
        <v>493</v>
      </c>
    </row>
    <row r="12" spans="1:6">
      <c r="A12" t="s">
        <v>494</v>
      </c>
    </row>
    <row r="13" spans="1:6" ht="13.8" thickBot="1"/>
    <row r="14" spans="1:6" ht="13.8" thickBot="1">
      <c r="A14" s="877" t="s">
        <v>902</v>
      </c>
      <c r="B14" s="878"/>
      <c r="C14" s="879" t="s">
        <v>903</v>
      </c>
    </row>
    <row r="17" spans="1:13">
      <c r="A17" t="s">
        <v>840</v>
      </c>
    </row>
    <row r="19" spans="1:13">
      <c r="A19" s="872" t="s">
        <v>495</v>
      </c>
      <c r="B19" s="873"/>
      <c r="C19" s="874" t="s">
        <v>901</v>
      </c>
      <c r="D19" s="872"/>
    </row>
    <row r="20" spans="1:13">
      <c r="A20" s="872"/>
      <c r="B20" s="872"/>
      <c r="C20" s="872"/>
      <c r="D20" s="872"/>
    </row>
    <row r="21" spans="1:13">
      <c r="A21" s="872" t="s">
        <v>496</v>
      </c>
      <c r="B21" s="875"/>
      <c r="C21" s="876">
        <v>603817595</v>
      </c>
      <c r="D21" s="872"/>
    </row>
    <row r="23" spans="1:13" ht="13.8" thickBot="1"/>
    <row r="24" spans="1:13" ht="13.8" thickBot="1">
      <c r="A24" s="359" t="s">
        <v>578</v>
      </c>
      <c r="B24" s="359"/>
      <c r="C24" s="360" t="s">
        <v>498</v>
      </c>
      <c r="D24" s="360" t="s">
        <v>499</v>
      </c>
      <c r="E24" s="360" t="s">
        <v>500</v>
      </c>
      <c r="F24" s="360" t="s">
        <v>501</v>
      </c>
      <c r="G24" s="360" t="s">
        <v>502</v>
      </c>
      <c r="H24" s="367" t="s">
        <v>505</v>
      </c>
      <c r="I24" s="367"/>
      <c r="J24" s="367" t="s">
        <v>503</v>
      </c>
      <c r="K24" s="367"/>
      <c r="L24" s="368" t="s">
        <v>504</v>
      </c>
      <c r="M24" s="369"/>
    </row>
    <row r="25" spans="1:13">
      <c r="A25" s="361"/>
      <c r="B25" s="361"/>
      <c r="C25" s="361"/>
      <c r="D25" s="361"/>
      <c r="E25" s="361"/>
      <c r="F25" s="361"/>
      <c r="G25" s="361"/>
      <c r="H25" s="361"/>
      <c r="I25" s="370"/>
      <c r="J25" s="361"/>
      <c r="K25" s="361"/>
      <c r="L25" s="361"/>
      <c r="M25" s="362"/>
    </row>
    <row r="26" spans="1:13">
      <c r="A26" s="229" t="s">
        <v>506</v>
      </c>
      <c r="B26" s="113"/>
      <c r="C26" s="113"/>
      <c r="D26" s="113"/>
      <c r="E26" s="113"/>
      <c r="F26" s="113"/>
      <c r="G26" s="363"/>
      <c r="H26" s="363"/>
      <c r="I26" s="371"/>
      <c r="J26" s="363"/>
      <c r="K26" s="364"/>
      <c r="L26" s="113"/>
      <c r="M26" s="365"/>
    </row>
    <row r="27" spans="1:13" ht="13.8" thickBot="1">
      <c r="A27" s="233" t="s">
        <v>504</v>
      </c>
      <c r="B27" s="234"/>
      <c r="C27" s="234"/>
      <c r="D27" s="234"/>
      <c r="E27" s="234"/>
      <c r="F27" s="234"/>
      <c r="G27" s="234"/>
      <c r="H27" s="372"/>
      <c r="I27" s="234"/>
      <c r="J27" s="234"/>
      <c r="K27" s="234"/>
      <c r="L27" s="234"/>
      <c r="M27" s="366"/>
    </row>
  </sheetData>
  <phoneticPr fontId="24" type="noConversion"/>
  <hyperlinks>
    <hyperlink ref="C19" r:id="rId1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2:T123"/>
  <sheetViews>
    <sheetView topLeftCell="A34" workbookViewId="0">
      <selection activeCell="L55" sqref="L55"/>
    </sheetView>
  </sheetViews>
  <sheetFormatPr defaultRowHeight="13.2"/>
  <cols>
    <col min="1" max="1" width="11.109375" customWidth="1"/>
    <col min="2" max="2" width="18.6640625" customWidth="1"/>
    <col min="3" max="3" width="6.5546875" customWidth="1"/>
    <col min="4" max="4" width="3.5546875" customWidth="1"/>
    <col min="5" max="5" width="4.6640625" customWidth="1"/>
    <col min="6" max="6" width="3.33203125" style="6" customWidth="1"/>
    <col min="7" max="7" width="8.33203125" style="6" customWidth="1"/>
    <col min="8" max="8" width="3.44140625" customWidth="1"/>
    <col min="9" max="9" width="12.6640625" style="395" customWidth="1"/>
    <col min="10" max="10" width="10.44140625" bestFit="1" customWidth="1"/>
    <col min="12" max="12" width="10.6640625" customWidth="1"/>
    <col min="14" max="14" width="10.6640625" customWidth="1"/>
    <col min="16" max="16" width="10" bestFit="1" customWidth="1"/>
    <col min="18" max="18" width="12.5546875" customWidth="1"/>
  </cols>
  <sheetData>
    <row r="2" spans="1:19" ht="13.8" thickBot="1">
      <c r="B2" s="155"/>
      <c r="C2" s="155"/>
      <c r="D2" s="155"/>
      <c r="E2" s="155"/>
      <c r="F2" s="155"/>
      <c r="G2" s="155"/>
      <c r="H2" s="155"/>
      <c r="I2" s="390"/>
      <c r="J2" s="155"/>
      <c r="M2" s="471" t="s">
        <v>557</v>
      </c>
    </row>
    <row r="3" spans="1:19">
      <c r="A3" s="424" t="s">
        <v>547</v>
      </c>
      <c r="B3" s="6" t="s">
        <v>544</v>
      </c>
      <c r="C3" s="145">
        <f>'Výkaz výměr'!D8</f>
        <v>11.507059199999999</v>
      </c>
      <c r="D3" s="6" t="s">
        <v>59</v>
      </c>
      <c r="E3" s="6"/>
      <c r="G3" s="6">
        <v>11500</v>
      </c>
      <c r="H3" s="6" t="s">
        <v>59</v>
      </c>
      <c r="I3" s="147">
        <f>G3*C3</f>
        <v>132331.18079999997</v>
      </c>
      <c r="J3" s="7"/>
      <c r="M3" s="225" t="s">
        <v>558</v>
      </c>
      <c r="N3" s="226"/>
      <c r="O3" s="226"/>
      <c r="P3" s="226" t="s">
        <v>559</v>
      </c>
      <c r="Q3" s="226"/>
      <c r="R3" s="682" t="s">
        <v>560</v>
      </c>
      <c r="S3" s="694"/>
    </row>
    <row r="4" spans="1:19">
      <c r="A4" s="18"/>
      <c r="B4" s="6" t="s">
        <v>531</v>
      </c>
      <c r="C4" s="6"/>
      <c r="D4" s="6"/>
      <c r="E4" s="6"/>
      <c r="H4" s="6"/>
      <c r="I4" s="147"/>
      <c r="J4" s="7"/>
      <c r="M4" s="229" t="s">
        <v>561</v>
      </c>
      <c r="N4" s="113"/>
      <c r="O4" s="113"/>
      <c r="P4" s="459">
        <f>'Výkaz výměr'!N42</f>
        <v>111.416</v>
      </c>
      <c r="Q4" s="113">
        <v>350</v>
      </c>
      <c r="R4" s="683"/>
      <c r="S4" s="365"/>
    </row>
    <row r="5" spans="1:19" ht="13.8" thickBot="1">
      <c r="A5" s="153"/>
      <c r="B5" s="155"/>
      <c r="C5" s="155"/>
      <c r="D5" s="155"/>
      <c r="E5" s="155"/>
      <c r="F5" s="155"/>
      <c r="G5" s="155"/>
      <c r="H5" s="155"/>
      <c r="I5" s="390"/>
      <c r="J5" s="426">
        <f>I3+I4+I5</f>
        <v>132331.18079999997</v>
      </c>
      <c r="M5" s="229" t="s">
        <v>353</v>
      </c>
      <c r="N5" s="113"/>
      <c r="O5" s="113" t="s">
        <v>562</v>
      </c>
      <c r="P5" s="459">
        <v>20</v>
      </c>
      <c r="Q5" s="113">
        <v>275</v>
      </c>
      <c r="R5" s="683">
        <f>Q5*P5</f>
        <v>5500</v>
      </c>
      <c r="S5" s="365"/>
    </row>
    <row r="6" spans="1:19" ht="13.8" thickBot="1">
      <c r="M6" s="229" t="s">
        <v>563</v>
      </c>
      <c r="N6" s="113"/>
      <c r="O6" s="113"/>
      <c r="P6" s="459">
        <f>'Výkaz výměr'!N145</f>
        <v>0</v>
      </c>
      <c r="Q6" s="113">
        <v>60000</v>
      </c>
      <c r="R6" s="683">
        <f>Q6*P6</f>
        <v>0</v>
      </c>
      <c r="S6" s="365"/>
    </row>
    <row r="7" spans="1:19">
      <c r="A7" s="424" t="s">
        <v>908</v>
      </c>
      <c r="B7" s="3" t="s">
        <v>548</v>
      </c>
      <c r="C7" s="427">
        <f>'Výkaz výměr'!N139</f>
        <v>30</v>
      </c>
      <c r="D7" s="3"/>
      <c r="E7" s="3"/>
      <c r="F7" s="3"/>
      <c r="G7" s="3">
        <v>3600</v>
      </c>
      <c r="H7" s="3"/>
      <c r="I7" s="428">
        <f>G7*C7</f>
        <v>108000</v>
      </c>
      <c r="J7" s="4"/>
      <c r="M7" s="229" t="s">
        <v>564</v>
      </c>
      <c r="N7" s="113"/>
      <c r="O7" s="113" t="s">
        <v>562</v>
      </c>
      <c r="P7" s="459">
        <f>P5</f>
        <v>20</v>
      </c>
      <c r="Q7" s="113">
        <v>350</v>
      </c>
      <c r="R7" s="683">
        <f>P7*Q7</f>
        <v>7000</v>
      </c>
      <c r="S7" s="365"/>
    </row>
    <row r="8" spans="1:19">
      <c r="A8" s="18"/>
      <c r="B8" s="6" t="s">
        <v>404</v>
      </c>
      <c r="C8" s="145">
        <f>'Výkaz výměr'!N141</f>
        <v>2</v>
      </c>
      <c r="D8" s="6"/>
      <c r="E8" s="6"/>
      <c r="G8" s="6">
        <v>17000</v>
      </c>
      <c r="H8" s="6"/>
      <c r="I8" s="423">
        <f>G8*C8</f>
        <v>34000</v>
      </c>
      <c r="J8" s="7"/>
      <c r="M8" s="229" t="s">
        <v>565</v>
      </c>
      <c r="N8" s="113"/>
      <c r="O8" s="113"/>
      <c r="P8" s="459">
        <f>'Výkaz výměr'!N144</f>
        <v>8</v>
      </c>
      <c r="Q8" s="113">
        <v>800</v>
      </c>
      <c r="R8" s="683">
        <f>+P8*Q8</f>
        <v>6400</v>
      </c>
      <c r="S8" s="365"/>
    </row>
    <row r="9" spans="1:19">
      <c r="A9" s="18"/>
      <c r="B9" s="277" t="s">
        <v>909</v>
      </c>
      <c r="C9" s="145">
        <f>'Položky sumář'!F38</f>
        <v>0</v>
      </c>
      <c r="D9" s="6"/>
      <c r="E9" s="6"/>
      <c r="G9" s="6">
        <v>12500</v>
      </c>
      <c r="H9" s="6"/>
      <c r="I9" s="423">
        <f>C9*G9</f>
        <v>0</v>
      </c>
      <c r="J9" s="7"/>
      <c r="M9" s="229"/>
      <c r="N9" s="113"/>
      <c r="O9" s="113"/>
      <c r="P9" s="459"/>
      <c r="Q9" s="113"/>
      <c r="R9" s="683"/>
      <c r="S9" s="365"/>
    </row>
    <row r="10" spans="1:19" ht="13.8" thickBot="1">
      <c r="A10" s="153"/>
      <c r="B10" s="155" t="s">
        <v>550</v>
      </c>
      <c r="C10" s="154">
        <f>'Výkaz výměr'!N140</f>
        <v>7.9</v>
      </c>
      <c r="D10" s="155"/>
      <c r="E10" s="155"/>
      <c r="F10" s="155"/>
      <c r="G10" s="155">
        <v>350</v>
      </c>
      <c r="H10" s="155"/>
      <c r="I10" s="429">
        <f>G10*C10</f>
        <v>2765</v>
      </c>
      <c r="J10" s="430">
        <f>I7+I8+I10</f>
        <v>144765</v>
      </c>
      <c r="M10" s="229" t="s">
        <v>566</v>
      </c>
      <c r="N10" s="113"/>
      <c r="O10" s="113"/>
      <c r="P10" s="459">
        <f>'Výkaz výměr'!N140</f>
        <v>7.9</v>
      </c>
      <c r="Q10" s="113">
        <v>200</v>
      </c>
      <c r="R10" s="683">
        <f>Q10*P10</f>
        <v>1580</v>
      </c>
      <c r="S10" s="365"/>
    </row>
    <row r="11" spans="1:19" ht="13.8" thickBot="1">
      <c r="M11" s="229" t="s">
        <v>150</v>
      </c>
      <c r="N11" s="113"/>
      <c r="O11" s="113"/>
      <c r="P11" s="459">
        <f>'Výkaz výměr'!N156</f>
        <v>0</v>
      </c>
      <c r="Q11" s="113">
        <v>900</v>
      </c>
      <c r="R11" s="683">
        <f>Q11*P11</f>
        <v>0</v>
      </c>
      <c r="S11" s="365"/>
    </row>
    <row r="12" spans="1:19">
      <c r="A12" s="424" t="s">
        <v>546</v>
      </c>
      <c r="B12" s="803"/>
      <c r="C12" s="804"/>
      <c r="D12" s="3"/>
      <c r="E12" s="805"/>
      <c r="F12" s="806"/>
      <c r="G12" s="3"/>
      <c r="H12" s="3"/>
      <c r="I12" s="425" t="s">
        <v>536</v>
      </c>
      <c r="J12" s="4"/>
      <c r="M12" s="229" t="s">
        <v>904</v>
      </c>
      <c r="N12" s="113"/>
      <c r="O12" s="113"/>
      <c r="P12" s="113">
        <v>1</v>
      </c>
      <c r="Q12" s="113">
        <v>10000</v>
      </c>
      <c r="R12" s="683">
        <f>P12*Q12</f>
        <v>10000</v>
      </c>
      <c r="S12" s="365"/>
    </row>
    <row r="13" spans="1:19" ht="13.8" thickBot="1">
      <c r="A13" s="431" t="s">
        <v>200</v>
      </c>
      <c r="B13" s="104" t="s">
        <v>308</v>
      </c>
      <c r="C13" s="412">
        <f>'Výkaz výměr'!N87</f>
        <v>148.4</v>
      </c>
      <c r="D13" s="417" t="s">
        <v>60</v>
      </c>
      <c r="E13" s="108"/>
      <c r="F13" s="107"/>
      <c r="H13" s="6"/>
      <c r="I13" s="147"/>
      <c r="J13" s="7"/>
      <c r="M13" s="460" t="s">
        <v>536</v>
      </c>
      <c r="N13" s="461"/>
      <c r="O13" s="461"/>
      <c r="P13" s="461"/>
      <c r="Q13" s="461"/>
      <c r="R13" s="684">
        <f>R4+R5+R6+R7+R8+R10+R11+R12</f>
        <v>30480</v>
      </c>
      <c r="S13" s="807"/>
    </row>
    <row r="14" spans="1:19">
      <c r="A14" s="431"/>
      <c r="B14" s="104" t="s">
        <v>309</v>
      </c>
      <c r="C14" s="412">
        <f>'Výkaz výměr'!N91</f>
        <v>9</v>
      </c>
      <c r="D14" s="417" t="s">
        <v>75</v>
      </c>
      <c r="E14" s="108"/>
      <c r="F14" s="107"/>
      <c r="H14" s="6"/>
      <c r="I14" s="147"/>
      <c r="J14" s="7"/>
      <c r="M14" s="880" t="s">
        <v>905</v>
      </c>
      <c r="P14" s="101">
        <f>'Výkaz výměr'!N41</f>
        <v>111.416</v>
      </c>
      <c r="Q14" s="881">
        <v>400</v>
      </c>
      <c r="R14" s="685">
        <f>P14*Q14</f>
        <v>44566.400000000001</v>
      </c>
    </row>
    <row r="15" spans="1:19">
      <c r="A15" s="431"/>
      <c r="B15" s="104" t="s">
        <v>310</v>
      </c>
      <c r="C15" s="412">
        <f>'Výkaz výměr'!N90</f>
        <v>9</v>
      </c>
      <c r="D15" s="417" t="s">
        <v>75</v>
      </c>
      <c r="E15" s="108"/>
      <c r="F15" s="107"/>
      <c r="H15" s="6"/>
      <c r="I15" s="147"/>
      <c r="J15" s="7"/>
    </row>
    <row r="16" spans="1:19">
      <c r="A16" s="431"/>
      <c r="B16" s="104" t="s">
        <v>311</v>
      </c>
      <c r="C16" s="412">
        <f>'Výkaz výměr'!N92</f>
        <v>31</v>
      </c>
      <c r="D16" s="417" t="s">
        <v>75</v>
      </c>
      <c r="E16" s="108"/>
      <c r="F16" s="107"/>
      <c r="H16" s="6"/>
      <c r="I16" s="147"/>
      <c r="J16" s="7"/>
    </row>
    <row r="17" spans="1:19" ht="13.8" thickBot="1">
      <c r="A17" s="431"/>
      <c r="B17" s="104" t="s">
        <v>312</v>
      </c>
      <c r="C17" s="412">
        <f>'Výkaz výměr'!N93</f>
        <v>16</v>
      </c>
      <c r="D17" s="417" t="s">
        <v>75</v>
      </c>
      <c r="E17" s="108"/>
      <c r="F17" s="107"/>
      <c r="H17" s="6"/>
      <c r="I17" s="147"/>
      <c r="J17" s="7"/>
      <c r="M17" s="471" t="s">
        <v>838</v>
      </c>
      <c r="R17" s="685"/>
    </row>
    <row r="18" spans="1:19">
      <c r="A18" s="431"/>
      <c r="B18" s="104" t="s">
        <v>313</v>
      </c>
      <c r="C18" s="412">
        <v>0</v>
      </c>
      <c r="D18" s="417" t="s">
        <v>75</v>
      </c>
      <c r="E18" s="108"/>
      <c r="F18" s="107"/>
      <c r="H18" s="6"/>
      <c r="I18" s="147"/>
      <c r="J18" s="7"/>
      <c r="M18" s="462" t="s">
        <v>567</v>
      </c>
      <c r="N18" s="275"/>
      <c r="O18" s="275"/>
      <c r="P18" s="275"/>
      <c r="Q18" s="275" t="s">
        <v>568</v>
      </c>
      <c r="R18" s="686"/>
      <c r="S18" s="808" t="s">
        <v>569</v>
      </c>
    </row>
    <row r="19" spans="1:19">
      <c r="A19" s="432" t="s">
        <v>401</v>
      </c>
      <c r="B19" s="104" t="s">
        <v>314</v>
      </c>
      <c r="C19" s="412">
        <v>0</v>
      </c>
      <c r="D19" s="417" t="s">
        <v>75</v>
      </c>
      <c r="E19" s="108"/>
      <c r="F19" s="107"/>
      <c r="H19" s="6"/>
      <c r="I19" s="147"/>
      <c r="J19" s="7"/>
      <c r="M19" s="328">
        <v>30</v>
      </c>
      <c r="N19" s="277" t="s">
        <v>60</v>
      </c>
      <c r="O19" s="277"/>
      <c r="P19" s="277"/>
      <c r="Q19" s="277"/>
      <c r="R19" s="687"/>
      <c r="S19" s="278"/>
    </row>
    <row r="20" spans="1:19">
      <c r="A20" s="18"/>
      <c r="B20" s="394" t="s">
        <v>315</v>
      </c>
      <c r="C20" s="411">
        <f>C13*10</f>
        <v>1484</v>
      </c>
      <c r="D20" s="147" t="s">
        <v>316</v>
      </c>
      <c r="E20" s="108"/>
      <c r="F20" s="107"/>
      <c r="G20" s="6">
        <v>18.97</v>
      </c>
      <c r="H20" s="6" t="s">
        <v>316</v>
      </c>
      <c r="I20" s="433">
        <f>C20*G20</f>
        <v>28151.48</v>
      </c>
      <c r="J20" s="7"/>
      <c r="M20" s="463" t="s">
        <v>558</v>
      </c>
      <c r="N20" s="464"/>
      <c r="O20" s="464"/>
      <c r="P20" s="464" t="s">
        <v>559</v>
      </c>
      <c r="Q20" s="464"/>
      <c r="R20" s="688" t="s">
        <v>560</v>
      </c>
      <c r="S20" s="809"/>
    </row>
    <row r="21" spans="1:19">
      <c r="A21" s="18"/>
      <c r="B21" s="394" t="s">
        <v>317</v>
      </c>
      <c r="C21" s="411">
        <f>C17*2</f>
        <v>32</v>
      </c>
      <c r="D21" s="147" t="s">
        <v>316</v>
      </c>
      <c r="E21" s="108"/>
      <c r="F21" s="107"/>
      <c r="G21" s="6">
        <v>119.64</v>
      </c>
      <c r="H21" s="6" t="s">
        <v>316</v>
      </c>
      <c r="I21" s="433">
        <f>C21*G21</f>
        <v>3828.48</v>
      </c>
      <c r="J21" s="7"/>
      <c r="M21" s="465" t="s">
        <v>818</v>
      </c>
      <c r="N21" s="466"/>
      <c r="O21" s="466"/>
      <c r="P21" s="468">
        <f>'Výkaz výměr'!N59+'Výkaz výměr'!N73+'Výkaz výměr'!N103+'Výkaz výměr'!N103+'Výkaz výměr'!N106+'Výkaz výměr'!N106+'Výkaz výměr'!N120+'Výkaz výměr'!N120</f>
        <v>331.36</v>
      </c>
      <c r="Q21" s="466"/>
      <c r="R21" s="689">
        <v>285</v>
      </c>
      <c r="S21" s="810">
        <f>R21*P21</f>
        <v>94437.6</v>
      </c>
    </row>
    <row r="22" spans="1:19">
      <c r="A22" s="18"/>
      <c r="B22" s="394" t="s">
        <v>318</v>
      </c>
      <c r="C22" s="411">
        <f>C14*3.1</f>
        <v>27.900000000000002</v>
      </c>
      <c r="D22" s="147" t="s">
        <v>316</v>
      </c>
      <c r="E22" s="108"/>
      <c r="F22" s="107"/>
      <c r="G22" s="6">
        <v>78.64</v>
      </c>
      <c r="H22" s="6" t="s">
        <v>316</v>
      </c>
      <c r="I22" s="433">
        <f>C22*G22</f>
        <v>2194.056</v>
      </c>
      <c r="J22" s="7"/>
      <c r="M22" s="465" t="s">
        <v>570</v>
      </c>
      <c r="N22" s="466"/>
      <c r="O22" s="466"/>
      <c r="P22" s="469">
        <f>'Výkaz výměr'!N53</f>
        <v>81.12</v>
      </c>
      <c r="Q22" s="466"/>
      <c r="R22" s="689">
        <v>150</v>
      </c>
      <c r="S22" s="811">
        <f>R22*P22</f>
        <v>12168</v>
      </c>
    </row>
    <row r="23" spans="1:19">
      <c r="A23" s="18"/>
      <c r="B23" s="394" t="s">
        <v>319</v>
      </c>
      <c r="C23" s="411">
        <f>C15*3.1</f>
        <v>27.900000000000002</v>
      </c>
      <c r="D23" s="147" t="s">
        <v>316</v>
      </c>
      <c r="E23" s="108"/>
      <c r="F23" s="107"/>
      <c r="G23" s="6">
        <v>78.64</v>
      </c>
      <c r="H23" s="6" t="s">
        <v>316</v>
      </c>
      <c r="I23" s="433">
        <f>C23*G23</f>
        <v>2194.056</v>
      </c>
      <c r="J23" s="7"/>
      <c r="M23" s="465"/>
      <c r="N23" s="466"/>
      <c r="O23" s="466"/>
      <c r="P23" s="466"/>
      <c r="Q23" s="466"/>
      <c r="R23" s="689"/>
      <c r="S23" s="811"/>
    </row>
    <row r="24" spans="1:19" ht="13.8" thickBot="1">
      <c r="B24" s="394" t="s">
        <v>531</v>
      </c>
      <c r="C24" s="411">
        <f>C13</f>
        <v>148.4</v>
      </c>
      <c r="D24" s="147" t="s">
        <v>60</v>
      </c>
      <c r="E24" s="108"/>
      <c r="F24" s="107"/>
      <c r="G24" s="145">
        <f>C24*20</f>
        <v>2968</v>
      </c>
      <c r="H24" s="6" t="s">
        <v>532</v>
      </c>
      <c r="I24" s="433">
        <f>G24</f>
        <v>2968</v>
      </c>
      <c r="J24" s="7"/>
      <c r="M24" s="816" t="s">
        <v>571</v>
      </c>
      <c r="N24" s="817"/>
      <c r="O24" s="817"/>
      <c r="P24" s="817">
        <v>1</v>
      </c>
      <c r="Q24" s="817"/>
      <c r="R24" s="818">
        <v>0</v>
      </c>
      <c r="S24" s="819">
        <v>5000</v>
      </c>
    </row>
    <row r="25" spans="1:19" ht="13.8" thickBot="1">
      <c r="A25" s="434"/>
      <c r="B25" s="780" t="s">
        <v>320</v>
      </c>
      <c r="C25" s="781">
        <f>C17*3</f>
        <v>48</v>
      </c>
      <c r="D25" s="782" t="s">
        <v>316</v>
      </c>
      <c r="E25" s="783"/>
      <c r="F25" s="784"/>
      <c r="G25" s="154">
        <v>46</v>
      </c>
      <c r="H25" s="155" t="s">
        <v>316</v>
      </c>
      <c r="I25" s="785">
        <f>C25*G25</f>
        <v>2208</v>
      </c>
      <c r="J25" s="426">
        <f>I20+I21+I22+I23+I24+I25</f>
        <v>41544.071999999993</v>
      </c>
      <c r="M25" s="812" t="s">
        <v>572</v>
      </c>
      <c r="N25" s="813">
        <f>K27</f>
        <v>0</v>
      </c>
      <c r="O25" s="813"/>
      <c r="P25" s="813"/>
      <c r="Q25" s="813"/>
      <c r="R25" s="814"/>
      <c r="S25" s="815"/>
    </row>
    <row r="26" spans="1:19" ht="14.4" thickTop="1" thickBot="1">
      <c r="A26" s="18"/>
      <c r="B26" s="103" t="s">
        <v>321</v>
      </c>
      <c r="C26" s="410">
        <f>'Výkaz výměr'!N41+'Výkaz výměr'!N36</f>
        <v>161.416</v>
      </c>
      <c r="D26" s="6" t="s">
        <v>60</v>
      </c>
      <c r="E26" s="108"/>
      <c r="F26" s="107"/>
      <c r="H26" s="6"/>
      <c r="I26" s="147"/>
      <c r="J26" s="436"/>
      <c r="M26" s="824" t="s">
        <v>536</v>
      </c>
      <c r="N26" s="825"/>
      <c r="O26" s="825"/>
      <c r="P26" s="825"/>
      <c r="Q26" s="825"/>
      <c r="R26" s="818"/>
      <c r="S26" s="826">
        <f>S21+S22+S23-S24</f>
        <v>101605.6</v>
      </c>
    </row>
    <row r="27" spans="1:19">
      <c r="A27" s="431" t="s">
        <v>537</v>
      </c>
      <c r="B27" s="103" t="s">
        <v>322</v>
      </c>
      <c r="C27" s="411">
        <f>C26/3.125</f>
        <v>51.653120000000001</v>
      </c>
      <c r="D27" s="147" t="s">
        <v>316</v>
      </c>
      <c r="E27" s="105"/>
      <c r="F27" s="106"/>
      <c r="G27" s="145">
        <v>265</v>
      </c>
      <c r="H27" s="6" t="s">
        <v>316</v>
      </c>
      <c r="I27" s="433">
        <f>C27*G27</f>
        <v>13688.076800000001</v>
      </c>
      <c r="J27" s="436"/>
      <c r="M27" s="277"/>
      <c r="N27" s="277"/>
      <c r="O27" s="277"/>
      <c r="P27" s="277"/>
      <c r="Q27" s="277"/>
      <c r="R27" s="687"/>
      <c r="S27" s="277"/>
    </row>
    <row r="28" spans="1:19">
      <c r="A28" s="432" t="s">
        <v>401</v>
      </c>
      <c r="B28" s="103" t="s">
        <v>351</v>
      </c>
      <c r="C28" s="411">
        <f>C26*28</f>
        <v>4519.6480000000001</v>
      </c>
      <c r="D28" s="147" t="s">
        <v>316</v>
      </c>
      <c r="E28" s="105"/>
      <c r="F28" s="106"/>
      <c r="G28" s="145">
        <v>0.88</v>
      </c>
      <c r="H28" s="6" t="s">
        <v>316</v>
      </c>
      <c r="I28" s="433">
        <f>C28*G28</f>
        <v>3977.2902400000003</v>
      </c>
      <c r="J28" s="436"/>
    </row>
    <row r="29" spans="1:19">
      <c r="A29" s="432"/>
      <c r="B29" s="103" t="s">
        <v>332</v>
      </c>
      <c r="C29" s="411">
        <f>C26*1.15</f>
        <v>185.62839999999997</v>
      </c>
      <c r="D29" s="147" t="s">
        <v>60</v>
      </c>
      <c r="E29" s="105"/>
      <c r="F29" s="106"/>
      <c r="G29" s="145">
        <v>11.3</v>
      </c>
      <c r="H29" s="6" t="s">
        <v>60</v>
      </c>
      <c r="I29" s="433">
        <f>C29*G29</f>
        <v>2097.6009199999999</v>
      </c>
      <c r="J29" s="436"/>
    </row>
    <row r="30" spans="1:19" ht="13.8" thickBot="1">
      <c r="A30" s="434"/>
      <c r="B30" s="233" t="s">
        <v>333</v>
      </c>
      <c r="C30" s="794">
        <f>'Výkaz výměr'!K29</f>
        <v>139.26999999999998</v>
      </c>
      <c r="D30" s="795" t="s">
        <v>60</v>
      </c>
      <c r="E30" s="796"/>
      <c r="F30" s="797"/>
      <c r="G30" s="798">
        <v>18</v>
      </c>
      <c r="H30" s="799" t="s">
        <v>60</v>
      </c>
      <c r="I30" s="800">
        <f>C30*G30</f>
        <v>2506.8599999999997</v>
      </c>
      <c r="J30" s="801">
        <f>I27+I28+I29+I30</f>
        <v>22269.827960000002</v>
      </c>
      <c r="M30" s="471" t="s">
        <v>555</v>
      </c>
      <c r="R30" s="685"/>
    </row>
    <row r="31" spans="1:19" ht="14.4" thickTop="1" thickBot="1">
      <c r="A31" s="18" t="s">
        <v>538</v>
      </c>
      <c r="B31" s="226" t="s">
        <v>323</v>
      </c>
      <c r="C31" s="789">
        <f>'Výkaz výměr'!N36</f>
        <v>50</v>
      </c>
      <c r="D31" s="335" t="s">
        <v>60</v>
      </c>
      <c r="E31" s="790"/>
      <c r="F31" s="791"/>
      <c r="G31" s="335"/>
      <c r="H31" s="335"/>
      <c r="I31" s="792"/>
      <c r="J31" s="793"/>
      <c r="M31" s="470" t="s">
        <v>500</v>
      </c>
      <c r="N31" s="467">
        <v>0</v>
      </c>
      <c r="O31" s="121" t="s">
        <v>60</v>
      </c>
      <c r="P31" s="121"/>
      <c r="Q31" s="121"/>
      <c r="R31" s="690"/>
      <c r="S31" s="121"/>
    </row>
    <row r="32" spans="1:19" ht="13.8" thickBot="1">
      <c r="A32" s="437" t="s">
        <v>401</v>
      </c>
      <c r="B32" s="786" t="s">
        <v>324</v>
      </c>
      <c r="C32" s="781">
        <f>C31*1.35</f>
        <v>67.5</v>
      </c>
      <c r="D32" s="390" t="s">
        <v>60</v>
      </c>
      <c r="E32" s="787"/>
      <c r="F32" s="788"/>
      <c r="G32" s="154">
        <v>0</v>
      </c>
      <c r="H32" s="155" t="s">
        <v>60</v>
      </c>
      <c r="I32" s="785">
        <f>C32*G32</f>
        <v>0</v>
      </c>
      <c r="J32" s="426">
        <f>I32</f>
        <v>0</v>
      </c>
      <c r="M32" s="225" t="s">
        <v>558</v>
      </c>
      <c r="N32" s="226"/>
      <c r="O32" s="226"/>
      <c r="P32" s="226" t="s">
        <v>559</v>
      </c>
      <c r="Q32" s="226"/>
      <c r="R32" s="682" t="s">
        <v>560</v>
      </c>
      <c r="S32" s="226"/>
    </row>
    <row r="33" spans="1:19" ht="13.8" thickTop="1">
      <c r="A33" s="18" t="s">
        <v>539</v>
      </c>
      <c r="B33" s="103" t="s">
        <v>335</v>
      </c>
      <c r="C33" s="410">
        <f>2*('Výkaz výměr'!K43+'Výkaz výměr'!K44)+'Výkaz výměr'!K45+'Výkaz výměr'!K46</f>
        <v>457.10199999999998</v>
      </c>
      <c r="D33" s="6" t="s">
        <v>60</v>
      </c>
      <c r="E33" s="108"/>
      <c r="F33" s="107"/>
      <c r="G33" s="6">
        <v>39.200000000000003</v>
      </c>
      <c r="H33" s="6" t="s">
        <v>60</v>
      </c>
      <c r="I33" s="433">
        <f>C33*G33</f>
        <v>17918.398400000002</v>
      </c>
      <c r="J33" s="436"/>
      <c r="M33" s="229"/>
      <c r="N33" s="113"/>
      <c r="O33" s="113"/>
      <c r="P33" s="113"/>
      <c r="Q33" s="113"/>
      <c r="R33" s="683"/>
      <c r="S33" s="113"/>
    </row>
    <row r="34" spans="1:19">
      <c r="A34" s="18"/>
      <c r="B34" s="103" t="s">
        <v>336</v>
      </c>
      <c r="C34" s="412">
        <f>'Výkaz výměr'!K47</f>
        <v>0</v>
      </c>
      <c r="D34" s="6" t="s">
        <v>60</v>
      </c>
      <c r="E34" s="108"/>
      <c r="F34" s="107"/>
      <c r="G34" s="6">
        <v>71.2</v>
      </c>
      <c r="H34" s="6" t="s">
        <v>60</v>
      </c>
      <c r="I34" s="433">
        <f>C34*G34</f>
        <v>0</v>
      </c>
      <c r="J34" s="436"/>
      <c r="M34" s="229" t="s">
        <v>573</v>
      </c>
      <c r="N34" s="113"/>
      <c r="O34" s="113" t="s">
        <v>574</v>
      </c>
      <c r="P34" s="115">
        <f>'Výkaz výměr'!N42</f>
        <v>111.416</v>
      </c>
      <c r="Q34" s="113"/>
      <c r="R34" s="683">
        <v>400</v>
      </c>
      <c r="S34" s="113">
        <f>R34*P34</f>
        <v>44566.400000000001</v>
      </c>
    </row>
    <row r="35" spans="1:19">
      <c r="A35" s="18"/>
      <c r="B35" s="103" t="s">
        <v>337</v>
      </c>
      <c r="C35" s="412">
        <f>2*('Výkaz výměr'!K43+'Výkaz výměr'!K44)+'Výkaz výměr'!K53+'Výkaz výměr'!K54+'Výkaz výměr'!K58</f>
        <v>274.84999999999997</v>
      </c>
      <c r="D35" s="6" t="s">
        <v>60</v>
      </c>
      <c r="E35" s="108"/>
      <c r="F35" s="107"/>
      <c r="G35" s="6">
        <v>39.200000000000003</v>
      </c>
      <c r="H35" s="6" t="s">
        <v>60</v>
      </c>
      <c r="I35" s="433">
        <f>C35*G35</f>
        <v>10774.119999999999</v>
      </c>
      <c r="J35" s="436"/>
      <c r="M35" s="229" t="s">
        <v>549</v>
      </c>
      <c r="N35" s="113"/>
      <c r="O35" s="113"/>
      <c r="P35" s="113">
        <v>1</v>
      </c>
      <c r="Q35" s="113"/>
      <c r="R35" s="683">
        <v>2000</v>
      </c>
      <c r="S35" s="113">
        <f>R35*P35</f>
        <v>2000</v>
      </c>
    </row>
    <row r="36" spans="1:19">
      <c r="A36" s="18"/>
      <c r="B36" s="103" t="s">
        <v>338</v>
      </c>
      <c r="C36" s="412">
        <f>'Výkaz výměr'!K59</f>
        <v>0</v>
      </c>
      <c r="D36" s="6" t="s">
        <v>60</v>
      </c>
      <c r="E36" s="108"/>
      <c r="F36" s="107"/>
      <c r="G36" s="6">
        <v>71.2</v>
      </c>
      <c r="H36" s="6" t="s">
        <v>60</v>
      </c>
      <c r="I36" s="433">
        <f>C36*G36</f>
        <v>0</v>
      </c>
      <c r="J36" s="436"/>
      <c r="M36" s="229" t="s">
        <v>576</v>
      </c>
      <c r="N36" s="113"/>
      <c r="O36" s="113"/>
      <c r="P36" s="113">
        <v>1</v>
      </c>
      <c r="Q36" s="113"/>
      <c r="R36" s="683">
        <v>4000</v>
      </c>
      <c r="S36" s="113">
        <f>R36*P36</f>
        <v>4000</v>
      </c>
    </row>
    <row r="37" spans="1:19">
      <c r="A37" s="432" t="s">
        <v>401</v>
      </c>
      <c r="B37" s="103" t="s">
        <v>527</v>
      </c>
      <c r="C37" s="411">
        <f>SUM(C33:C36)</f>
        <v>731.952</v>
      </c>
      <c r="D37" s="147" t="s">
        <v>60</v>
      </c>
      <c r="E37" s="108"/>
      <c r="F37" s="107"/>
      <c r="H37" s="6"/>
      <c r="I37" s="147"/>
      <c r="J37" s="436"/>
      <c r="M37" s="229"/>
      <c r="N37" s="113"/>
      <c r="O37" s="113"/>
      <c r="P37" s="113"/>
      <c r="Q37" s="113"/>
      <c r="R37" s="683">
        <v>0</v>
      </c>
      <c r="S37" s="113"/>
    </row>
    <row r="38" spans="1:19">
      <c r="A38" s="18"/>
      <c r="B38" s="103" t="s">
        <v>325</v>
      </c>
      <c r="C38" s="411">
        <f>C33+C35/2.5</f>
        <v>567.04199999999992</v>
      </c>
      <c r="D38" s="147" t="s">
        <v>316</v>
      </c>
      <c r="E38" s="105"/>
      <c r="F38" s="106"/>
      <c r="H38" s="6"/>
      <c r="I38" s="147"/>
      <c r="J38" s="436"/>
      <c r="M38" s="229" t="s">
        <v>572</v>
      </c>
      <c r="N38" s="113"/>
      <c r="O38" s="363"/>
      <c r="P38" s="113"/>
      <c r="Q38" s="113"/>
      <c r="R38" s="683"/>
      <c r="S38" s="113"/>
    </row>
    <row r="39" spans="1:19">
      <c r="A39" s="18"/>
      <c r="B39" s="103" t="s">
        <v>326</v>
      </c>
      <c r="C39" s="411">
        <f>C34+C36/3.125</f>
        <v>0</v>
      </c>
      <c r="D39" s="147" t="s">
        <v>60</v>
      </c>
      <c r="E39" s="105"/>
      <c r="F39" s="106"/>
      <c r="H39" s="6"/>
      <c r="I39" s="147"/>
      <c r="J39" s="436"/>
      <c r="M39" s="229"/>
      <c r="N39" s="113"/>
      <c r="O39" s="363"/>
      <c r="P39" s="113"/>
      <c r="Q39" s="113"/>
      <c r="R39" s="683"/>
      <c r="S39" s="113"/>
    </row>
    <row r="40" spans="1:19" ht="13.8" thickBot="1">
      <c r="A40" s="18"/>
      <c r="B40" s="103" t="s">
        <v>339</v>
      </c>
      <c r="C40" s="411">
        <f>'Výkaz výměr'!K31</f>
        <v>115.94880000000001</v>
      </c>
      <c r="D40" s="147" t="s">
        <v>60</v>
      </c>
      <c r="E40" s="105"/>
      <c r="F40" s="106"/>
      <c r="G40" s="145">
        <v>85.4</v>
      </c>
      <c r="H40" s="6" t="s">
        <v>60</v>
      </c>
      <c r="I40" s="433">
        <f t="shared" ref="I40:I51" si="0">C40*G40</f>
        <v>9902.0275200000015</v>
      </c>
      <c r="J40" s="436"/>
      <c r="M40" s="460" t="s">
        <v>536</v>
      </c>
      <c r="N40" s="461"/>
      <c r="O40" s="461"/>
      <c r="P40" s="461"/>
      <c r="Q40" s="461"/>
      <c r="R40" s="684"/>
      <c r="S40" s="461">
        <f>S33+S34+S35+S36+S37-S38</f>
        <v>50566.400000000001</v>
      </c>
    </row>
    <row r="41" spans="1:19">
      <c r="A41" s="18"/>
      <c r="B41" s="103" t="s">
        <v>533</v>
      </c>
      <c r="C41" s="411">
        <f>'Výkaz výměr'!K33</f>
        <v>115.94880000000001</v>
      </c>
      <c r="D41" s="147" t="s">
        <v>60</v>
      </c>
      <c r="E41" s="105"/>
      <c r="F41" s="106"/>
      <c r="G41" s="145">
        <v>61</v>
      </c>
      <c r="H41" s="6" t="s">
        <v>60</v>
      </c>
      <c r="I41" s="433">
        <f t="shared" si="0"/>
        <v>7072.8768</v>
      </c>
      <c r="J41" s="436"/>
    </row>
    <row r="42" spans="1:19" ht="13.8" thickBot="1">
      <c r="A42" s="18"/>
      <c r="B42" s="103" t="s">
        <v>340</v>
      </c>
      <c r="C42" s="416">
        <f>'Výkaz výměr'!K32</f>
        <v>0</v>
      </c>
      <c r="D42" s="147" t="s">
        <v>60</v>
      </c>
      <c r="E42" s="105"/>
      <c r="F42" s="106"/>
      <c r="G42" s="145">
        <v>85.4</v>
      </c>
      <c r="H42" s="6" t="s">
        <v>60</v>
      </c>
      <c r="I42" s="433">
        <f t="shared" si="0"/>
        <v>0</v>
      </c>
      <c r="J42" s="436"/>
      <c r="M42" s="471" t="s">
        <v>819</v>
      </c>
      <c r="N42" s="823" t="s">
        <v>820</v>
      </c>
      <c r="O42" t="s">
        <v>834</v>
      </c>
      <c r="P42" s="13">
        <v>725634870</v>
      </c>
      <c r="R42" s="685"/>
    </row>
    <row r="43" spans="1:19" ht="13.8" thickBot="1">
      <c r="A43" s="18"/>
      <c r="B43" s="103" t="s">
        <v>534</v>
      </c>
      <c r="C43" s="416">
        <f>'Výkaz výměr'!K34</f>
        <v>0</v>
      </c>
      <c r="D43" s="147" t="s">
        <v>60</v>
      </c>
      <c r="E43" s="105"/>
      <c r="F43" s="106"/>
      <c r="G43" s="145">
        <v>61</v>
      </c>
      <c r="H43" s="6" t="s">
        <v>60</v>
      </c>
      <c r="I43" s="433">
        <f t="shared" si="0"/>
        <v>0</v>
      </c>
      <c r="J43" s="436"/>
      <c r="M43" s="470">
        <v>30</v>
      </c>
      <c r="N43" s="467" t="s">
        <v>60</v>
      </c>
      <c r="O43" s="121"/>
      <c r="P43" s="121"/>
      <c r="Q43" s="121"/>
      <c r="R43" s="690"/>
      <c r="S43" s="121"/>
    </row>
    <row r="44" spans="1:19">
      <c r="A44" s="18"/>
      <c r="B44" s="103" t="s">
        <v>341</v>
      </c>
      <c r="C44" s="416">
        <f>('Výkaz výměr'!K43+'Výkaz výměr'!K44)/2</f>
        <v>60.087499999999991</v>
      </c>
      <c r="D44" s="147" t="s">
        <v>60</v>
      </c>
      <c r="E44" s="105"/>
      <c r="F44" s="106"/>
      <c r="G44" s="145">
        <v>48.8</v>
      </c>
      <c r="H44" s="6" t="s">
        <v>60</v>
      </c>
      <c r="I44" s="433">
        <f t="shared" si="0"/>
        <v>2932.2699999999995</v>
      </c>
      <c r="J44" s="436"/>
      <c r="M44" s="225" t="s">
        <v>558</v>
      </c>
      <c r="N44" s="226"/>
      <c r="O44" s="226"/>
      <c r="P44" s="226" t="s">
        <v>559</v>
      </c>
      <c r="Q44" s="226"/>
      <c r="R44" s="682" t="s">
        <v>560</v>
      </c>
      <c r="S44" s="226"/>
    </row>
    <row r="45" spans="1:19">
      <c r="A45" s="18"/>
      <c r="B45" s="103" t="s">
        <v>342</v>
      </c>
      <c r="C45" s="416">
        <f>('Výkaz výměr'!K51+'Výkaz výměr'!K52)/2</f>
        <v>0</v>
      </c>
      <c r="D45" s="319" t="s">
        <v>60</v>
      </c>
      <c r="E45" s="108"/>
      <c r="F45" s="107"/>
      <c r="G45" s="145">
        <v>48.8</v>
      </c>
      <c r="H45" s="6" t="s">
        <v>60</v>
      </c>
      <c r="I45" s="433">
        <f t="shared" si="0"/>
        <v>0</v>
      </c>
      <c r="J45" s="436"/>
      <c r="M45" s="229" t="s">
        <v>821</v>
      </c>
      <c r="N45" s="113"/>
      <c r="O45" s="113"/>
      <c r="P45" s="459"/>
      <c r="Q45" s="113"/>
      <c r="R45" s="683"/>
      <c r="S45" s="113"/>
    </row>
    <row r="46" spans="1:19">
      <c r="A46" s="18"/>
      <c r="B46" s="19" t="s">
        <v>531</v>
      </c>
      <c r="C46" s="411">
        <f>C37</f>
        <v>731.952</v>
      </c>
      <c r="D46" s="414"/>
      <c r="E46" s="413"/>
      <c r="F46" s="107"/>
      <c r="G46" s="6">
        <v>60</v>
      </c>
      <c r="H46" s="6" t="s">
        <v>60</v>
      </c>
      <c r="I46" s="433">
        <f t="shared" si="0"/>
        <v>43917.120000000003</v>
      </c>
      <c r="J46" s="436"/>
      <c r="M46" s="229" t="s">
        <v>822</v>
      </c>
      <c r="N46" s="113"/>
      <c r="O46" s="113" t="s">
        <v>60</v>
      </c>
      <c r="P46" s="115">
        <f>+'Výkaz výměr'!N87</f>
        <v>148.4</v>
      </c>
      <c r="Q46" s="113"/>
      <c r="R46" s="683">
        <v>60</v>
      </c>
      <c r="S46" s="113">
        <f>+P46*R46</f>
        <v>8904</v>
      </c>
    </row>
    <row r="47" spans="1:19">
      <c r="A47" s="18" t="s">
        <v>345</v>
      </c>
      <c r="B47" s="19" t="s">
        <v>350</v>
      </c>
      <c r="C47" s="411">
        <f>(C38+C39)*20-15%</f>
        <v>11340.689999999999</v>
      </c>
      <c r="D47" s="414" t="s">
        <v>316</v>
      </c>
      <c r="E47" s="413"/>
      <c r="F47" s="107"/>
      <c r="G47" s="6">
        <v>0.15</v>
      </c>
      <c r="H47" s="6" t="s">
        <v>316</v>
      </c>
      <c r="I47" s="433">
        <f t="shared" si="0"/>
        <v>1701.1034999999997</v>
      </c>
      <c r="J47" s="436"/>
      <c r="M47" s="229" t="s">
        <v>823</v>
      </c>
      <c r="N47" s="113"/>
      <c r="O47" s="113" t="s">
        <v>60</v>
      </c>
      <c r="P47" s="115">
        <f>+'Výkaz výměr'!N87</f>
        <v>148.4</v>
      </c>
      <c r="Q47" s="113"/>
      <c r="R47" s="683">
        <v>70</v>
      </c>
      <c r="S47" s="113">
        <f t="shared" ref="S47:S53" si="1">+P47*R47</f>
        <v>10388</v>
      </c>
    </row>
    <row r="48" spans="1:19">
      <c r="A48" s="18"/>
      <c r="B48" s="19" t="s">
        <v>346</v>
      </c>
      <c r="C48" s="411">
        <f>('Výkaz výměr'!J45+'Výkaz výměr'!J46+'Výkaz výměr'!J47+'Výkaz výměr'!J53+'Výkaz výměr'!J54+'Výkaz výměr'!J58+'Výkaz výměr'!J59)*3</f>
        <v>655.44</v>
      </c>
      <c r="D48" s="415" t="s">
        <v>75</v>
      </c>
      <c r="E48" s="413">
        <f>C48/4</f>
        <v>163.86</v>
      </c>
      <c r="F48" s="107" t="s">
        <v>316</v>
      </c>
      <c r="G48" s="145">
        <v>52.9</v>
      </c>
      <c r="H48" s="6" t="s">
        <v>316</v>
      </c>
      <c r="I48" s="433">
        <f t="shared" si="0"/>
        <v>34672.776000000005</v>
      </c>
      <c r="J48" s="436"/>
      <c r="M48" s="229" t="s">
        <v>824</v>
      </c>
      <c r="N48" s="113"/>
      <c r="O48" s="113" t="s">
        <v>316</v>
      </c>
      <c r="P48" s="459">
        <f>+'Výkaz výměr'!N94</f>
        <v>0</v>
      </c>
      <c r="Q48" s="113"/>
      <c r="R48" s="683">
        <v>1500</v>
      </c>
      <c r="S48" s="113">
        <f t="shared" si="1"/>
        <v>0</v>
      </c>
    </row>
    <row r="49" spans="1:19">
      <c r="A49" s="18"/>
      <c r="B49" s="19" t="s">
        <v>347</v>
      </c>
      <c r="C49" s="411">
        <f>C48/3</f>
        <v>218.48000000000002</v>
      </c>
      <c r="D49" s="415" t="s">
        <v>75</v>
      </c>
      <c r="E49" s="413">
        <f>C49/3</f>
        <v>72.826666666666668</v>
      </c>
      <c r="F49" s="107" t="s">
        <v>316</v>
      </c>
      <c r="G49" s="145">
        <v>26.22</v>
      </c>
      <c r="H49" s="6" t="s">
        <v>316</v>
      </c>
      <c r="I49" s="433">
        <f t="shared" si="0"/>
        <v>5728.5456000000004</v>
      </c>
      <c r="J49" s="436"/>
      <c r="M49" s="229" t="s">
        <v>825</v>
      </c>
      <c r="N49" s="113"/>
      <c r="O49" s="113" t="s">
        <v>316</v>
      </c>
      <c r="P49" s="459">
        <f>+'Výkaz výměr'!N157</f>
        <v>0</v>
      </c>
      <c r="Q49" s="113"/>
      <c r="R49" s="683">
        <v>800</v>
      </c>
      <c r="S49" s="113">
        <f t="shared" si="1"/>
        <v>0</v>
      </c>
    </row>
    <row r="50" spans="1:19" ht="13.8" thickBot="1">
      <c r="A50" s="18"/>
      <c r="B50" s="19" t="s">
        <v>348</v>
      </c>
      <c r="C50" s="411">
        <f>('Výkaz výměr'!J43+'Výkaz výměr'!J44+'Výkaz výměr'!J51+'Výkaz výměr'!J52)*2+20%</f>
        <v>209.2</v>
      </c>
      <c r="D50" s="415" t="s">
        <v>75</v>
      </c>
      <c r="E50" s="413">
        <f>C50/4</f>
        <v>52.3</v>
      </c>
      <c r="F50" s="107" t="s">
        <v>316</v>
      </c>
      <c r="G50" s="145">
        <v>59.8</v>
      </c>
      <c r="H50" s="6" t="s">
        <v>316</v>
      </c>
      <c r="I50" s="433">
        <f t="shared" si="0"/>
        <v>12510.159999999998</v>
      </c>
      <c r="J50" s="436"/>
      <c r="M50" s="229" t="s">
        <v>826</v>
      </c>
      <c r="N50" s="113"/>
      <c r="O50" s="113" t="s">
        <v>827</v>
      </c>
      <c r="P50" s="459">
        <f>+'Výkaz výměr'!N93</f>
        <v>16</v>
      </c>
      <c r="Q50" s="113"/>
      <c r="R50" s="683">
        <v>0</v>
      </c>
      <c r="S50" s="113">
        <f t="shared" si="1"/>
        <v>0</v>
      </c>
    </row>
    <row r="51" spans="1:19" ht="13.8" thickBot="1">
      <c r="A51" s="421"/>
      <c r="B51" s="422" t="s">
        <v>349</v>
      </c>
      <c r="C51" s="441">
        <f>('Výkaz výměr'!J43+'Výkaz výměr'!J44+'Výkaz výměr'!J51+'Výkaz výměr'!J52)/0.625+50%</f>
        <v>167.7</v>
      </c>
      <c r="D51" s="442" t="s">
        <v>75</v>
      </c>
      <c r="E51" s="447">
        <f>C51/2.75</f>
        <v>60.981818181818177</v>
      </c>
      <c r="F51" s="444" t="s">
        <v>316</v>
      </c>
      <c r="G51" s="779">
        <v>51.18</v>
      </c>
      <c r="H51" s="121" t="s">
        <v>316</v>
      </c>
      <c r="I51" s="445">
        <f t="shared" si="0"/>
        <v>8582.8859999999986</v>
      </c>
      <c r="J51" s="446">
        <f>I33+I34+I36+I35+I40+I41+I42+I43+I44+I45+I47+I48+I49+I50+I51+I46</f>
        <v>155712.28382000001</v>
      </c>
      <c r="M51" s="229" t="s">
        <v>835</v>
      </c>
      <c r="N51" s="113"/>
      <c r="O51" s="113" t="s">
        <v>827</v>
      </c>
      <c r="P51" s="459">
        <f>+'Výkaz výměr'!N92</f>
        <v>31</v>
      </c>
      <c r="Q51" s="113"/>
      <c r="R51" s="683">
        <v>0</v>
      </c>
      <c r="S51" s="113">
        <f t="shared" si="1"/>
        <v>0</v>
      </c>
    </row>
    <row r="52" spans="1:19" ht="13.8" thickBot="1">
      <c r="A52" s="18" t="s">
        <v>552</v>
      </c>
      <c r="B52" s="19" t="s">
        <v>412</v>
      </c>
      <c r="C52" s="411">
        <f>'Výkaz výměr'!N94</f>
        <v>0</v>
      </c>
      <c r="D52" s="415" t="s">
        <v>316</v>
      </c>
      <c r="E52" s="413"/>
      <c r="F52" s="107"/>
      <c r="G52" s="145">
        <v>11500</v>
      </c>
      <c r="H52" s="6" t="s">
        <v>316</v>
      </c>
      <c r="I52" s="433">
        <f>G52*C52</f>
        <v>0</v>
      </c>
      <c r="J52" s="435"/>
      <c r="M52" s="229" t="s">
        <v>828</v>
      </c>
      <c r="N52" s="113">
        <v>0</v>
      </c>
      <c r="O52" s="113" t="s">
        <v>827</v>
      </c>
      <c r="P52" s="459">
        <f>+P50</f>
        <v>16</v>
      </c>
      <c r="Q52" s="113"/>
      <c r="R52" s="683">
        <v>80</v>
      </c>
      <c r="S52" s="113">
        <f t="shared" si="1"/>
        <v>1280</v>
      </c>
    </row>
    <row r="53" spans="1:19" ht="13.8" thickBot="1">
      <c r="A53" s="421" t="s">
        <v>551</v>
      </c>
      <c r="B53" s="422" t="s">
        <v>553</v>
      </c>
      <c r="C53" s="441">
        <f>'Výkaz výměr'!N157</f>
        <v>0</v>
      </c>
      <c r="D53" s="442" t="s">
        <v>316</v>
      </c>
      <c r="E53" s="447"/>
      <c r="F53" s="444"/>
      <c r="G53" s="779">
        <v>4500</v>
      </c>
      <c r="H53" s="121" t="s">
        <v>316</v>
      </c>
      <c r="I53" s="445">
        <f>G53*C53</f>
        <v>0</v>
      </c>
      <c r="J53" s="446">
        <f>I52+I53</f>
        <v>0</v>
      </c>
      <c r="M53" s="229" t="s">
        <v>829</v>
      </c>
      <c r="N53" s="113"/>
      <c r="O53" s="113" t="s">
        <v>827</v>
      </c>
      <c r="P53" s="113">
        <v>0</v>
      </c>
      <c r="Q53" s="113"/>
      <c r="R53" s="683">
        <v>0</v>
      </c>
      <c r="S53" s="113">
        <f t="shared" si="1"/>
        <v>0</v>
      </c>
    </row>
    <row r="54" spans="1:19">
      <c r="A54" s="431" t="s">
        <v>540</v>
      </c>
      <c r="B54" s="19" t="s">
        <v>528</v>
      </c>
      <c r="C54" s="411">
        <f>'Výkaz výměr'!D132</f>
        <v>93.287999999999997</v>
      </c>
      <c r="D54" s="417" t="s">
        <v>60</v>
      </c>
      <c r="E54" s="108">
        <f>C54/0.75</f>
        <v>124.384</v>
      </c>
      <c r="F54" s="107" t="s">
        <v>316</v>
      </c>
      <c r="G54" s="6">
        <v>285</v>
      </c>
      <c r="H54" s="6" t="s">
        <v>316</v>
      </c>
      <c r="I54" s="433">
        <f>E54*G54</f>
        <v>35449.440000000002</v>
      </c>
      <c r="J54" s="436"/>
      <c r="M54" s="229" t="s">
        <v>830</v>
      </c>
      <c r="N54" s="113"/>
      <c r="O54" s="113" t="s">
        <v>827</v>
      </c>
      <c r="P54" s="113">
        <v>0</v>
      </c>
      <c r="Q54" s="113"/>
      <c r="R54" s="683">
        <v>45</v>
      </c>
      <c r="S54" s="113">
        <f>+P54*R54</f>
        <v>0</v>
      </c>
    </row>
    <row r="55" spans="1:19">
      <c r="A55" s="18"/>
      <c r="B55" s="103" t="s">
        <v>535</v>
      </c>
      <c r="C55" s="411">
        <f>Náklady!C54</f>
        <v>93.287999999999997</v>
      </c>
      <c r="D55" s="417" t="s">
        <v>60</v>
      </c>
      <c r="E55" s="108">
        <f>C55</f>
        <v>93.287999999999997</v>
      </c>
      <c r="F55" s="107" t="s">
        <v>60</v>
      </c>
      <c r="G55" s="6">
        <v>225</v>
      </c>
      <c r="H55" s="6" t="s">
        <v>60</v>
      </c>
      <c r="I55" s="433">
        <f>E55*G55</f>
        <v>20989.8</v>
      </c>
      <c r="J55" s="436"/>
      <c r="M55" s="229" t="s">
        <v>831</v>
      </c>
      <c r="N55" s="113"/>
      <c r="O55" s="363" t="s">
        <v>827</v>
      </c>
      <c r="P55" s="113">
        <v>0</v>
      </c>
      <c r="Q55" s="113"/>
      <c r="R55" s="683">
        <v>45</v>
      </c>
      <c r="S55" s="113">
        <f>+P55*R55</f>
        <v>0</v>
      </c>
    </row>
    <row r="56" spans="1:19">
      <c r="A56" s="18"/>
      <c r="B56" s="103" t="s">
        <v>343</v>
      </c>
      <c r="C56" s="411">
        <f>C55</f>
        <v>93.287999999999997</v>
      </c>
      <c r="D56" s="417" t="s">
        <v>60</v>
      </c>
      <c r="E56" s="108">
        <f>C56</f>
        <v>93.287999999999997</v>
      </c>
      <c r="F56" s="107" t="s">
        <v>60</v>
      </c>
      <c r="H56" s="6"/>
      <c r="I56" s="433"/>
      <c r="J56" s="436"/>
      <c r="M56" s="229" t="s">
        <v>832</v>
      </c>
      <c r="N56" s="113"/>
      <c r="O56" s="363" t="s">
        <v>827</v>
      </c>
      <c r="P56" s="459">
        <f>+'Výkaz výměr'!N149</f>
        <v>35.200000000000003</v>
      </c>
      <c r="Q56" s="113"/>
      <c r="R56" s="683">
        <v>150</v>
      </c>
      <c r="S56" s="113">
        <f>+P56*R56</f>
        <v>5280</v>
      </c>
    </row>
    <row r="57" spans="1:19">
      <c r="A57" s="18" t="s">
        <v>541</v>
      </c>
      <c r="B57" s="103" t="s">
        <v>344</v>
      </c>
      <c r="C57" s="411">
        <f>C56</f>
        <v>93.287999999999997</v>
      </c>
      <c r="D57" s="417" t="s">
        <v>60</v>
      </c>
      <c r="E57" s="108">
        <f>C57</f>
        <v>93.287999999999997</v>
      </c>
      <c r="F57" s="107" t="s">
        <v>60</v>
      </c>
      <c r="H57" s="6"/>
      <c r="I57" s="433"/>
      <c r="J57" s="435">
        <f>I54+I55+I56+I57</f>
        <v>56439.240000000005</v>
      </c>
      <c r="M57" s="229" t="s">
        <v>833</v>
      </c>
      <c r="N57" s="113"/>
      <c r="O57" s="363"/>
      <c r="P57" s="459">
        <f>+P46</f>
        <v>148.4</v>
      </c>
      <c r="Q57" s="113"/>
      <c r="R57" s="683">
        <v>40</v>
      </c>
      <c r="S57" s="113">
        <f>+P57*R57</f>
        <v>5936</v>
      </c>
    </row>
    <row r="58" spans="1:19" ht="13.8" thickBot="1">
      <c r="A58" s="18"/>
      <c r="B58" s="103" t="s">
        <v>529</v>
      </c>
      <c r="C58" s="411">
        <f>'Výkaz výměr'!D134</f>
        <v>93.287999999999997</v>
      </c>
      <c r="D58" s="418" t="s">
        <v>60</v>
      </c>
      <c r="E58" s="108">
        <f>C58/0.75</f>
        <v>124.384</v>
      </c>
      <c r="F58" s="107" t="s">
        <v>316</v>
      </c>
      <c r="G58" s="6">
        <v>204</v>
      </c>
      <c r="H58" s="6" t="s">
        <v>316</v>
      </c>
      <c r="I58" s="433">
        <f>E58*G58</f>
        <v>25374.335999999999</v>
      </c>
      <c r="J58" s="436"/>
      <c r="M58" s="460" t="s">
        <v>545</v>
      </c>
      <c r="N58" s="461"/>
      <c r="O58" s="461"/>
      <c r="P58" s="461"/>
      <c r="Q58" s="461"/>
      <c r="R58" s="684"/>
      <c r="S58" s="461">
        <f>SUM(S46:S57)</f>
        <v>31788</v>
      </c>
    </row>
    <row r="59" spans="1:19">
      <c r="A59" s="18"/>
      <c r="B59" s="103" t="s">
        <v>530</v>
      </c>
      <c r="C59" s="411">
        <f>C58</f>
        <v>93.287999999999997</v>
      </c>
      <c r="D59" s="418" t="s">
        <v>60</v>
      </c>
      <c r="E59" s="108">
        <f>C59/1.5</f>
        <v>62.192</v>
      </c>
      <c r="F59" s="107" t="s">
        <v>316</v>
      </c>
      <c r="G59" s="6">
        <v>204</v>
      </c>
      <c r="H59" s="6" t="s">
        <v>316</v>
      </c>
      <c r="I59" s="433">
        <f>E59*G59</f>
        <v>12687.168</v>
      </c>
      <c r="J59" s="435">
        <f>I58+I59</f>
        <v>38061.504000000001</v>
      </c>
    </row>
    <row r="60" spans="1:19" ht="13.8" thickBot="1">
      <c r="A60" s="18"/>
      <c r="B60" s="103" t="s">
        <v>543</v>
      </c>
      <c r="C60" s="411">
        <f>C54+C58</f>
        <v>186.57599999999999</v>
      </c>
      <c r="D60" s="418"/>
      <c r="E60" s="108"/>
      <c r="F60" s="107"/>
      <c r="G60" s="6">
        <v>43</v>
      </c>
      <c r="H60" s="6" t="s">
        <v>60</v>
      </c>
      <c r="I60" s="433">
        <f>C60*G60</f>
        <v>8022.768</v>
      </c>
      <c r="J60" s="435">
        <f>I60</f>
        <v>8022.768</v>
      </c>
      <c r="L60" s="6"/>
      <c r="M60" s="885"/>
      <c r="N60" s="381"/>
      <c r="O60" s="6"/>
      <c r="P60" s="6"/>
      <c r="Q60" s="6"/>
      <c r="R60" s="820"/>
      <c r="S60" s="6"/>
    </row>
    <row r="61" spans="1:19" ht="13.8" thickBot="1">
      <c r="A61" s="421"/>
      <c r="B61" s="448"/>
      <c r="C61" s="441"/>
      <c r="D61" s="449"/>
      <c r="E61" s="443"/>
      <c r="F61" s="444"/>
      <c r="G61" s="121"/>
      <c r="H61" s="121"/>
      <c r="I61" s="445"/>
      <c r="J61" s="446">
        <f>J57+J59</f>
        <v>94500.744000000006</v>
      </c>
      <c r="L61" s="6"/>
      <c r="M61" s="885" t="s">
        <v>907</v>
      </c>
      <c r="N61" s="6"/>
      <c r="O61" s="6"/>
      <c r="P61" s="6"/>
      <c r="Q61" s="6"/>
      <c r="R61" s="820"/>
      <c r="S61" s="6"/>
    </row>
    <row r="62" spans="1:19">
      <c r="A62" s="18" t="s">
        <v>555</v>
      </c>
      <c r="B62" s="103"/>
      <c r="C62" s="411"/>
      <c r="D62" s="418"/>
      <c r="E62" s="108"/>
      <c r="F62" s="107"/>
      <c r="H62" s="6"/>
      <c r="I62" s="433"/>
      <c r="J62" s="436"/>
      <c r="L62" s="6"/>
      <c r="M62" s="885"/>
      <c r="N62" s="381"/>
      <c r="O62" s="6"/>
      <c r="P62" s="6"/>
      <c r="Q62" s="6"/>
      <c r="R62" s="820"/>
      <c r="S62" s="6"/>
    </row>
    <row r="63" spans="1:19">
      <c r="A63" s="432" t="s">
        <v>401</v>
      </c>
      <c r="B63" s="103" t="s">
        <v>334</v>
      </c>
      <c r="C63" s="411">
        <f>C26</f>
        <v>161.416</v>
      </c>
      <c r="D63" s="417" t="s">
        <v>60</v>
      </c>
      <c r="E63" s="108">
        <f>C63</f>
        <v>161.416</v>
      </c>
      <c r="F63" s="107" t="s">
        <v>60</v>
      </c>
      <c r="H63" s="6"/>
      <c r="I63" s="433"/>
      <c r="J63" s="436"/>
      <c r="L63" s="6"/>
      <c r="M63" s="888" t="s">
        <v>118</v>
      </c>
      <c r="N63" s="821" t="s">
        <v>59</v>
      </c>
      <c r="O63" s="821"/>
      <c r="P63" s="821"/>
      <c r="Q63" s="821"/>
      <c r="R63" s="822"/>
      <c r="S63" s="821"/>
    </row>
    <row r="64" spans="1:19">
      <c r="A64" s="18"/>
      <c r="B64" s="103" t="s">
        <v>327</v>
      </c>
      <c r="C64" s="411">
        <f>C63</f>
        <v>161.416</v>
      </c>
      <c r="D64" s="417" t="s">
        <v>60</v>
      </c>
      <c r="E64" s="108">
        <f>C64</f>
        <v>161.416</v>
      </c>
      <c r="F64" s="107" t="s">
        <v>60</v>
      </c>
      <c r="G64" s="6">
        <v>24.96</v>
      </c>
      <c r="H64" s="6" t="s">
        <v>60</v>
      </c>
      <c r="I64" s="433">
        <f>E64*G64</f>
        <v>4028.9433600000002</v>
      </c>
      <c r="J64" s="436"/>
      <c r="L64" s="6"/>
      <c r="M64" s="885"/>
      <c r="N64" s="381"/>
      <c r="O64" s="6"/>
      <c r="P64" s="6"/>
      <c r="Q64" s="6"/>
      <c r="R64" s="820"/>
      <c r="S64" s="6"/>
    </row>
    <row r="65" spans="1:14">
      <c r="A65" s="18"/>
      <c r="B65" s="103" t="s">
        <v>328</v>
      </c>
      <c r="C65" s="411">
        <v>15</v>
      </c>
      <c r="D65" s="417" t="s">
        <v>60</v>
      </c>
      <c r="E65" s="108">
        <f>C65</f>
        <v>15</v>
      </c>
      <c r="F65" s="107" t="s">
        <v>60</v>
      </c>
      <c r="G65" s="6">
        <v>16.64</v>
      </c>
      <c r="H65" s="6" t="s">
        <v>60</v>
      </c>
      <c r="I65" s="433">
        <f>E65*G65</f>
        <v>249.60000000000002</v>
      </c>
      <c r="J65" s="436"/>
      <c r="L65" s="6"/>
      <c r="M65" s="6"/>
      <c r="N65" s="6"/>
    </row>
    <row r="66" spans="1:14">
      <c r="A66" s="18"/>
      <c r="B66" s="103" t="s">
        <v>542</v>
      </c>
      <c r="C66" s="411">
        <f>'Výkaz výměr'!N42*7.5/20*1.02</f>
        <v>42.616619999999998</v>
      </c>
      <c r="D66" s="417" t="s">
        <v>316</v>
      </c>
      <c r="E66" s="108">
        <f>C66</f>
        <v>42.616619999999998</v>
      </c>
      <c r="F66" s="107" t="s">
        <v>316</v>
      </c>
      <c r="G66" s="6">
        <v>209.49</v>
      </c>
      <c r="H66" s="6" t="s">
        <v>316</v>
      </c>
      <c r="I66" s="433">
        <f>E66*G66</f>
        <v>8927.755723799999</v>
      </c>
      <c r="J66" s="436"/>
      <c r="L66" s="6"/>
      <c r="M66" s="6"/>
      <c r="N66" s="6"/>
    </row>
    <row r="67" spans="1:14" ht="13.8" thickBot="1">
      <c r="A67" s="18"/>
      <c r="B67" s="103" t="s">
        <v>329</v>
      </c>
      <c r="C67" s="416">
        <f>'Výkaz výměr'!N42/10</f>
        <v>11.1416</v>
      </c>
      <c r="D67" s="417" t="s">
        <v>316</v>
      </c>
      <c r="E67" s="108">
        <f>C67</f>
        <v>11.1416</v>
      </c>
      <c r="F67" s="107" t="s">
        <v>316</v>
      </c>
      <c r="G67" s="6">
        <v>1028.5</v>
      </c>
      <c r="H67" s="6" t="s">
        <v>316</v>
      </c>
      <c r="I67" s="433">
        <f>E67*G67</f>
        <v>11459.1356</v>
      </c>
      <c r="J67" s="435"/>
    </row>
    <row r="68" spans="1:14" ht="13.8" thickBot="1">
      <c r="A68" s="450"/>
      <c r="B68" s="451" t="s">
        <v>531</v>
      </c>
      <c r="C68" s="452">
        <f>C63</f>
        <v>161.416</v>
      </c>
      <c r="D68" s="453" t="s">
        <v>60</v>
      </c>
      <c r="E68" s="454"/>
      <c r="F68" s="455"/>
      <c r="G68" s="456">
        <v>90</v>
      </c>
      <c r="H68" s="456" t="s">
        <v>60</v>
      </c>
      <c r="I68" s="457">
        <f>G68*C68</f>
        <v>14527.44</v>
      </c>
      <c r="J68" s="446">
        <f>I64+I65+I66+I67+I68</f>
        <v>39192.874683800001</v>
      </c>
    </row>
    <row r="69" spans="1:14" ht="13.8" thickBot="1">
      <c r="A69" s="421" t="s">
        <v>421</v>
      </c>
      <c r="B69" s="384" t="s">
        <v>554</v>
      </c>
      <c r="C69" s="458">
        <f>'Výkaz výměr'!N146</f>
        <v>0</v>
      </c>
      <c r="D69" s="449" t="s">
        <v>316</v>
      </c>
      <c r="E69" s="447"/>
      <c r="F69" s="444"/>
      <c r="G69" s="121">
        <v>27000</v>
      </c>
      <c r="H69" s="121"/>
      <c r="I69" s="445"/>
      <c r="J69" s="446">
        <f>G69*C69</f>
        <v>0</v>
      </c>
    </row>
    <row r="70" spans="1:14">
      <c r="A70" s="18"/>
      <c r="B70" s="277"/>
      <c r="C70" s="416"/>
      <c r="D70" s="418"/>
      <c r="E70" s="413"/>
      <c r="F70" s="107"/>
      <c r="H70" s="6"/>
      <c r="I70" s="433"/>
      <c r="J70" s="435"/>
    </row>
    <row r="71" spans="1:14" ht="13.8" thickBot="1">
      <c r="A71" s="438" t="s">
        <v>556</v>
      </c>
      <c r="B71" s="155" t="s">
        <v>545</v>
      </c>
      <c r="C71" s="155"/>
      <c r="D71" s="155"/>
      <c r="E71" s="439"/>
      <c r="F71" s="155"/>
      <c r="G71" s="155"/>
      <c r="H71" s="155"/>
      <c r="I71" s="390"/>
      <c r="J71" s="440">
        <f>J25+J30+J32+J51+J52+J53+J61+J68+J69</f>
        <v>353219.80246380001</v>
      </c>
    </row>
    <row r="73" spans="1:14">
      <c r="A73" s="420" t="s">
        <v>836</v>
      </c>
      <c r="B73" s="420"/>
      <c r="C73" s="420"/>
      <c r="D73" s="420"/>
      <c r="E73" s="419"/>
      <c r="F73" s="802"/>
      <c r="G73" s="802"/>
      <c r="H73" s="420"/>
      <c r="I73" s="420"/>
      <c r="J73" s="419">
        <f>J5+J10+J71</f>
        <v>630315.98326379992</v>
      </c>
    </row>
    <row r="75" spans="1:14">
      <c r="A75" t="s">
        <v>641</v>
      </c>
      <c r="E75" s="100"/>
      <c r="J75">
        <v>0</v>
      </c>
    </row>
    <row r="76" spans="1:14">
      <c r="E76" s="100"/>
    </row>
    <row r="77" spans="1:14">
      <c r="A77" t="s">
        <v>642</v>
      </c>
      <c r="E77" s="100"/>
      <c r="J77" s="100">
        <f>J73</f>
        <v>630315.98326379992</v>
      </c>
    </row>
    <row r="78" spans="1:14" ht="13.8" thickBot="1">
      <c r="E78" s="100"/>
    </row>
    <row r="79" spans="1:14" ht="13.8" thickBot="1">
      <c r="A79" s="676" t="s">
        <v>643</v>
      </c>
      <c r="B79" s="129"/>
      <c r="C79" s="129"/>
      <c r="D79" s="129"/>
      <c r="E79" s="677"/>
      <c r="F79" s="129"/>
      <c r="G79" s="129"/>
      <c r="H79" s="129"/>
      <c r="I79" s="678"/>
      <c r="J79" s="679">
        <f>J75-J77</f>
        <v>-630315.98326379992</v>
      </c>
    </row>
    <row r="80" spans="1:14">
      <c r="E80" s="100"/>
    </row>
    <row r="82" spans="5:20">
      <c r="E82" s="100"/>
      <c r="L82" s="6"/>
      <c r="M82" s="885"/>
      <c r="N82" s="886"/>
      <c r="O82" s="6"/>
      <c r="P82" s="6"/>
      <c r="Q82" s="6"/>
      <c r="R82" s="820"/>
      <c r="S82" s="6"/>
      <c r="T82" s="6"/>
    </row>
    <row r="83" spans="5:20">
      <c r="E83" s="100"/>
      <c r="L83" s="6"/>
      <c r="M83" s="885"/>
      <c r="N83" s="886"/>
      <c r="O83" s="6"/>
      <c r="P83" s="6"/>
      <c r="Q83" s="6"/>
      <c r="R83" s="820"/>
      <c r="S83" s="6"/>
      <c r="T83" s="6"/>
    </row>
    <row r="84" spans="5:20">
      <c r="E84" s="100"/>
      <c r="L84" s="6"/>
      <c r="M84" s="885"/>
      <c r="N84" s="885"/>
      <c r="O84" s="6"/>
      <c r="P84" s="6"/>
      <c r="Q84" s="6"/>
      <c r="R84" s="6"/>
      <c r="S84" s="6"/>
      <c r="T84" s="6"/>
    </row>
    <row r="85" spans="5:20">
      <c r="L85" s="6"/>
      <c r="M85" s="885"/>
      <c r="N85" s="886"/>
      <c r="O85" s="6"/>
      <c r="P85" s="6"/>
      <c r="Q85" s="6"/>
      <c r="R85" s="820"/>
      <c r="S85" s="6"/>
      <c r="T85" s="6"/>
    </row>
    <row r="86" spans="5:20">
      <c r="L86" s="6"/>
      <c r="M86" s="885"/>
      <c r="N86" s="886"/>
      <c r="O86" s="6"/>
      <c r="P86" s="6"/>
      <c r="Q86" s="6"/>
      <c r="R86" s="820"/>
      <c r="S86" s="6"/>
      <c r="T86" s="6"/>
    </row>
    <row r="87" spans="5:20">
      <c r="L87" s="6"/>
      <c r="M87" s="885"/>
      <c r="N87" s="886"/>
      <c r="O87" s="6"/>
      <c r="P87" s="145"/>
      <c r="Q87" s="6"/>
      <c r="R87" s="820"/>
      <c r="S87" s="6"/>
      <c r="T87" s="6"/>
    </row>
    <row r="88" spans="5:20">
      <c r="L88" s="6"/>
      <c r="M88" s="885"/>
      <c r="N88" s="885"/>
      <c r="O88" s="6"/>
      <c r="P88" s="6"/>
      <c r="Q88" s="6"/>
      <c r="R88" s="820"/>
      <c r="S88" s="6"/>
      <c r="T88" s="6"/>
    </row>
    <row r="89" spans="5:20">
      <c r="L89" s="6"/>
      <c r="M89" s="885"/>
      <c r="N89" s="886"/>
      <c r="O89" s="6"/>
      <c r="P89" s="145"/>
      <c r="Q89" s="6"/>
      <c r="R89" s="820"/>
      <c r="S89" s="6"/>
      <c r="T89" s="6"/>
    </row>
    <row r="90" spans="5:20">
      <c r="E90" s="100"/>
      <c r="L90" s="6"/>
      <c r="M90" s="885"/>
      <c r="N90" s="886"/>
      <c r="O90" s="6"/>
      <c r="P90" s="6"/>
      <c r="Q90" s="6"/>
      <c r="R90" s="820"/>
      <c r="S90" s="6"/>
      <c r="T90" s="6"/>
    </row>
    <row r="91" spans="5:20">
      <c r="E91" s="100"/>
      <c r="L91" s="6"/>
      <c r="M91" s="885"/>
      <c r="N91" s="885"/>
      <c r="O91" s="6"/>
      <c r="P91" s="145"/>
      <c r="Q91" s="6"/>
      <c r="R91" s="820"/>
      <c r="S91" s="6"/>
      <c r="T91" s="6"/>
    </row>
    <row r="92" spans="5:20">
      <c r="E92" s="100"/>
      <c r="L92" s="6"/>
      <c r="M92" s="885"/>
      <c r="N92" s="885"/>
      <c r="O92" s="6"/>
      <c r="P92" s="145"/>
      <c r="Q92" s="6"/>
      <c r="R92" s="820"/>
      <c r="S92" s="6"/>
      <c r="T92" s="6"/>
    </row>
    <row r="93" spans="5:20">
      <c r="E93" s="100"/>
      <c r="L93" s="6"/>
      <c r="M93" s="885"/>
      <c r="N93" s="885"/>
      <c r="O93" s="6"/>
      <c r="P93" s="145"/>
      <c r="Q93" s="6"/>
      <c r="R93" s="820"/>
      <c r="S93" s="6"/>
      <c r="T93" s="6"/>
    </row>
    <row r="94" spans="5:20">
      <c r="E94" s="100"/>
      <c r="L94" s="6"/>
      <c r="M94" s="887"/>
      <c r="N94" s="885"/>
      <c r="O94" s="6"/>
      <c r="P94" s="6"/>
      <c r="Q94" s="6"/>
      <c r="R94" s="882"/>
      <c r="S94" s="6"/>
      <c r="T94" s="6"/>
    </row>
    <row r="95" spans="5:20">
      <c r="E95" s="100"/>
      <c r="L95" s="6"/>
      <c r="M95" s="885"/>
      <c r="N95" s="885"/>
      <c r="O95" s="6"/>
      <c r="P95" s="6"/>
      <c r="Q95" s="6"/>
      <c r="R95" s="6"/>
      <c r="S95" s="6"/>
      <c r="T95" s="6"/>
    </row>
    <row r="96" spans="5:20">
      <c r="E96" s="100"/>
      <c r="L96" s="6"/>
      <c r="M96" s="885"/>
      <c r="N96" s="886"/>
      <c r="O96" s="883"/>
      <c r="P96" s="6"/>
      <c r="Q96" s="6"/>
      <c r="R96" s="820"/>
      <c r="S96" s="6"/>
      <c r="T96" s="6"/>
    </row>
    <row r="97" spans="5:20">
      <c r="E97" s="100"/>
      <c r="L97" s="6"/>
      <c r="M97" s="885"/>
      <c r="N97" s="886"/>
      <c r="O97" s="884"/>
      <c r="P97" s="6"/>
      <c r="Q97" s="6"/>
      <c r="R97" s="820"/>
      <c r="S97" s="6"/>
      <c r="T97" s="6"/>
    </row>
    <row r="98" spans="5:20">
      <c r="E98" s="100"/>
      <c r="L98" s="6"/>
      <c r="M98" s="885"/>
      <c r="N98" s="885"/>
      <c r="O98" s="6"/>
      <c r="P98" s="6"/>
      <c r="Q98" s="6"/>
      <c r="R98" s="820"/>
      <c r="S98" s="6"/>
      <c r="T98" s="6"/>
    </row>
    <row r="99" spans="5:20">
      <c r="E99" s="100"/>
      <c r="L99" s="6"/>
      <c r="M99" s="6"/>
      <c r="N99" s="6"/>
      <c r="O99" s="6"/>
      <c r="P99" s="6"/>
      <c r="Q99" s="6"/>
      <c r="R99" s="820"/>
      <c r="S99" s="6"/>
      <c r="T99" s="6"/>
    </row>
    <row r="100" spans="5:20">
      <c r="E100" s="100"/>
      <c r="R100" s="685"/>
    </row>
    <row r="101" spans="5:20">
      <c r="E101" s="100"/>
      <c r="O101" s="692"/>
      <c r="R101" s="685"/>
    </row>
    <row r="102" spans="5:20">
      <c r="E102" s="100"/>
      <c r="R102" s="685"/>
    </row>
    <row r="103" spans="5:20" ht="13.8" thickBot="1">
      <c r="E103" s="100"/>
      <c r="R103" s="685"/>
    </row>
    <row r="104" spans="5:20" ht="13.8" thickBot="1">
      <c r="E104" s="100"/>
      <c r="M104" s="472"/>
      <c r="N104" s="473"/>
      <c r="O104" s="473"/>
      <c r="P104" s="473"/>
      <c r="Q104" s="473"/>
      <c r="R104" s="691"/>
      <c r="S104" s="474"/>
    </row>
    <row r="105" spans="5:20">
      <c r="E105" s="100"/>
      <c r="R105" s="685"/>
    </row>
    <row r="106" spans="5:20">
      <c r="E106" s="100"/>
      <c r="R106" s="685"/>
    </row>
    <row r="107" spans="5:20">
      <c r="E107" s="100"/>
      <c r="R107" s="685"/>
    </row>
    <row r="108" spans="5:20">
      <c r="E108" s="100"/>
      <c r="R108" s="685"/>
      <c r="S108" s="827"/>
    </row>
    <row r="109" spans="5:20">
      <c r="E109" s="100"/>
    </row>
    <row r="110" spans="5:20">
      <c r="E110" s="100"/>
    </row>
    <row r="111" spans="5:20">
      <c r="E111" s="100"/>
    </row>
    <row r="112" spans="5:20">
      <c r="E112" s="100"/>
    </row>
    <row r="113" spans="5:5">
      <c r="E113" s="100"/>
    </row>
    <row r="114" spans="5:5">
      <c r="E114" s="100"/>
    </row>
    <row r="115" spans="5:5">
      <c r="E115" s="100"/>
    </row>
    <row r="116" spans="5:5">
      <c r="E116" s="100"/>
    </row>
    <row r="117" spans="5:5">
      <c r="E117" s="100"/>
    </row>
    <row r="118" spans="5:5">
      <c r="E118" s="100"/>
    </row>
    <row r="119" spans="5:5">
      <c r="E119" s="100"/>
    </row>
    <row r="120" spans="5:5">
      <c r="E120" s="100"/>
    </row>
    <row r="121" spans="5:5">
      <c r="E121" s="100"/>
    </row>
    <row r="122" spans="5:5">
      <c r="E122" s="100"/>
    </row>
    <row r="123" spans="5:5">
      <c r="E123" s="100"/>
    </row>
  </sheetData>
  <phoneticPr fontId="24" type="noConversion"/>
  <pageMargins left="0.17" right="0.26" top="0.6" bottom="0.54" header="0.4921259845" footer="0.4921259845"/>
  <pageSetup paperSize="9" orientation="portrait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2:S54"/>
  <sheetViews>
    <sheetView workbookViewId="0">
      <selection activeCell="G3" sqref="G3"/>
    </sheetView>
  </sheetViews>
  <sheetFormatPr defaultRowHeight="13.2"/>
  <cols>
    <col min="1" max="1" width="7.33203125" customWidth="1"/>
    <col min="2" max="2" width="27.88671875" style="116" customWidth="1"/>
    <col min="3" max="3" width="14.88671875" style="116" customWidth="1"/>
    <col min="4" max="4" width="3.33203125" style="116" customWidth="1"/>
    <col min="5" max="5" width="14.88671875" customWidth="1"/>
    <col min="6" max="6" width="8.33203125" style="100" customWidth="1"/>
    <col min="7" max="7" width="14.88671875" customWidth="1"/>
    <col min="8" max="8" width="8.33203125" style="100" customWidth="1"/>
    <col min="9" max="9" width="2.5546875" customWidth="1"/>
    <col min="10" max="10" width="14.88671875" style="499" customWidth="1"/>
    <col min="11" max="11" width="2.5546875" style="499" customWidth="1"/>
    <col min="12" max="12" width="14.88671875" style="499" customWidth="1"/>
    <col min="13" max="17" width="14.88671875" customWidth="1"/>
    <col min="18" max="18" width="2.5546875" customWidth="1"/>
    <col min="19" max="19" width="14.88671875" customWidth="1"/>
  </cols>
  <sheetData>
    <row r="2" spans="1:19" ht="33">
      <c r="B2" s="498" t="s">
        <v>465</v>
      </c>
    </row>
    <row r="3" spans="1:19" ht="15.6">
      <c r="B3" s="500" t="s">
        <v>466</v>
      </c>
    </row>
    <row r="4" spans="1:19">
      <c r="B4" s="501" t="s">
        <v>590</v>
      </c>
    </row>
    <row r="5" spans="1:19">
      <c r="B5" s="502" t="s">
        <v>591</v>
      </c>
    </row>
    <row r="7" spans="1:19" ht="19.5" customHeight="1">
      <c r="A7" s="503"/>
      <c r="B7" s="320" t="s">
        <v>592</v>
      </c>
      <c r="C7" s="320"/>
      <c r="D7" s="320"/>
      <c r="E7" s="320"/>
      <c r="F7" s="504"/>
      <c r="G7" s="6"/>
      <c r="H7" s="381"/>
      <c r="I7" s="6"/>
      <c r="J7" s="505"/>
      <c r="K7" s="505"/>
      <c r="L7" s="505"/>
    </row>
    <row r="8" spans="1:19" ht="13.8" thickBot="1"/>
    <row r="9" spans="1:19" s="506" customFormat="1" ht="15" thickBot="1">
      <c r="B9" s="507" t="s">
        <v>593</v>
      </c>
      <c r="C9" s="507" t="s">
        <v>594</v>
      </c>
      <c r="D9" s="508"/>
      <c r="E9" s="509" t="s">
        <v>595</v>
      </c>
      <c r="F9" s="510" t="s">
        <v>596</v>
      </c>
      <c r="G9" s="511" t="s">
        <v>597</v>
      </c>
      <c r="H9" s="510" t="s">
        <v>596</v>
      </c>
      <c r="I9" s="512"/>
      <c r="J9" s="513" t="s">
        <v>598</v>
      </c>
      <c r="K9" s="514"/>
      <c r="L9" s="515" t="s">
        <v>599</v>
      </c>
      <c r="M9" s="516" t="s">
        <v>600</v>
      </c>
      <c r="N9" s="517" t="s">
        <v>601</v>
      </c>
      <c r="O9" s="518" t="s">
        <v>602</v>
      </c>
      <c r="P9" s="519" t="s">
        <v>603</v>
      </c>
      <c r="Q9" s="520" t="s">
        <v>604</v>
      </c>
      <c r="R9" s="512"/>
      <c r="S9" s="521" t="s">
        <v>605</v>
      </c>
    </row>
    <row r="10" spans="1:19" s="506" customFormat="1" ht="14.4">
      <c r="B10" s="522" t="s">
        <v>606</v>
      </c>
      <c r="C10" s="523">
        <f>Položky!H25</f>
        <v>227171.972992</v>
      </c>
      <c r="D10" s="524"/>
      <c r="E10" s="525"/>
      <c r="F10" s="526"/>
      <c r="G10" s="527"/>
      <c r="H10" s="528"/>
      <c r="I10" s="529"/>
      <c r="J10" s="530">
        <f>(C10+G10)-E10</f>
        <v>227171.972992</v>
      </c>
      <c r="K10" s="531"/>
      <c r="L10" s="532">
        <v>0</v>
      </c>
      <c r="M10" s="533">
        <v>0</v>
      </c>
      <c r="N10" s="534">
        <v>0</v>
      </c>
      <c r="O10" s="535"/>
      <c r="P10" s="536"/>
      <c r="Q10" s="537"/>
      <c r="R10" s="538"/>
      <c r="S10" s="539">
        <f>J10-L10-M10-N10-O10-P10-Q10</f>
        <v>227171.972992</v>
      </c>
    </row>
    <row r="11" spans="1:19" s="506" customFormat="1" ht="14.4">
      <c r="B11" s="540" t="s">
        <v>607</v>
      </c>
      <c r="C11" s="541">
        <f>Položky!H47</f>
        <v>450751.07197439997</v>
      </c>
      <c r="D11" s="542"/>
      <c r="E11" s="543"/>
      <c r="F11" s="526"/>
      <c r="G11" s="527"/>
      <c r="H11" s="544"/>
      <c r="I11" s="529"/>
      <c r="J11" s="530">
        <f>(C11+G11)-E11</f>
        <v>450751.07197439997</v>
      </c>
      <c r="K11" s="531"/>
      <c r="L11" s="545">
        <v>0</v>
      </c>
      <c r="M11" s="533">
        <v>0</v>
      </c>
      <c r="N11" s="546">
        <f>J11-M11</f>
        <v>450751.07197439997</v>
      </c>
      <c r="O11" s="547"/>
      <c r="P11" s="548"/>
      <c r="Q11" s="549"/>
      <c r="R11" s="550"/>
      <c r="S11" s="539">
        <f t="shared" ref="S11:S27" si="0">J11-L11-M11-N11-O11-P11-Q11</f>
        <v>0</v>
      </c>
    </row>
    <row r="12" spans="1:19" s="506" customFormat="1" ht="14.4">
      <c r="B12" s="540" t="s">
        <v>608</v>
      </c>
      <c r="C12" s="541">
        <f>Položky!H60</f>
        <v>144361.35051199998</v>
      </c>
      <c r="D12" s="542"/>
      <c r="E12" s="543"/>
      <c r="F12" s="526"/>
      <c r="G12" s="527"/>
      <c r="H12" s="544"/>
      <c r="I12" s="529"/>
      <c r="J12" s="530">
        <f>(C12+G12)-E12</f>
        <v>144361.35051199998</v>
      </c>
      <c r="K12" s="531"/>
      <c r="L12" s="545">
        <v>0</v>
      </c>
      <c r="M12" s="533">
        <v>0</v>
      </c>
      <c r="N12" s="546">
        <f>J12</f>
        <v>144361.35051199998</v>
      </c>
      <c r="O12" s="547"/>
      <c r="P12" s="548"/>
      <c r="Q12" s="549"/>
      <c r="R12" s="550"/>
      <c r="S12" s="539">
        <f t="shared" si="0"/>
        <v>0</v>
      </c>
    </row>
    <row r="13" spans="1:19" s="506" customFormat="1" ht="14.4">
      <c r="B13" s="540" t="s">
        <v>609</v>
      </c>
      <c r="C13" s="541"/>
      <c r="D13" s="542"/>
      <c r="E13" s="543"/>
      <c r="F13" s="526"/>
      <c r="G13" s="527"/>
      <c r="H13" s="544"/>
      <c r="I13" s="529"/>
      <c r="J13" s="530"/>
      <c r="K13" s="531"/>
      <c r="L13" s="545"/>
      <c r="M13" s="533"/>
      <c r="N13" s="546"/>
      <c r="O13" s="547"/>
      <c r="P13" s="548"/>
      <c r="Q13" s="549"/>
      <c r="R13" s="550"/>
      <c r="S13" s="539"/>
    </row>
    <row r="14" spans="1:19" s="506" customFormat="1" ht="14.4">
      <c r="B14" s="540" t="s">
        <v>610</v>
      </c>
      <c r="C14" s="541">
        <f>Položky!H73</f>
        <v>208159.288</v>
      </c>
      <c r="D14" s="542"/>
      <c r="E14" s="543"/>
      <c r="F14" s="526"/>
      <c r="G14" s="527"/>
      <c r="H14" s="544"/>
      <c r="I14" s="529"/>
      <c r="J14" s="530">
        <f t="shared" ref="J14:J24" si="1">(C14+G14)-E14</f>
        <v>208159.288</v>
      </c>
      <c r="K14" s="531"/>
      <c r="L14" s="545">
        <v>0</v>
      </c>
      <c r="M14" s="533">
        <v>0</v>
      </c>
      <c r="N14" s="546">
        <f>J14</f>
        <v>208159.288</v>
      </c>
      <c r="O14" s="547"/>
      <c r="P14" s="548"/>
      <c r="Q14" s="549"/>
      <c r="R14" s="550"/>
      <c r="S14" s="539">
        <f t="shared" si="0"/>
        <v>0</v>
      </c>
    </row>
    <row r="15" spans="1:19" s="506" customFormat="1" ht="14.4">
      <c r="B15" s="540" t="s">
        <v>611</v>
      </c>
      <c r="C15" s="541">
        <f>Položky!H92</f>
        <v>153421.69999999998</v>
      </c>
      <c r="D15" s="542"/>
      <c r="E15" s="543"/>
      <c r="F15" s="526"/>
      <c r="G15" s="527"/>
      <c r="H15" s="544"/>
      <c r="I15" s="529"/>
      <c r="J15" s="530">
        <f t="shared" si="1"/>
        <v>153421.69999999998</v>
      </c>
      <c r="K15" s="531"/>
      <c r="L15" s="545">
        <v>0</v>
      </c>
      <c r="M15" s="533">
        <v>0</v>
      </c>
      <c r="N15" s="546">
        <v>0</v>
      </c>
      <c r="O15" s="547"/>
      <c r="P15" s="548"/>
      <c r="Q15" s="549"/>
      <c r="R15" s="550"/>
      <c r="S15" s="539">
        <f t="shared" si="0"/>
        <v>153421.69999999998</v>
      </c>
    </row>
    <row r="16" spans="1:19" s="506" customFormat="1" ht="14.4">
      <c r="B16" s="540" t="s">
        <v>612</v>
      </c>
      <c r="C16" s="541">
        <f>Položky!H98</f>
        <v>15025.920000000002</v>
      </c>
      <c r="D16" s="542"/>
      <c r="E16" s="543"/>
      <c r="F16" s="526"/>
      <c r="G16" s="527"/>
      <c r="H16" s="544"/>
      <c r="I16" s="529"/>
      <c r="J16" s="530">
        <f t="shared" si="1"/>
        <v>15025.920000000002</v>
      </c>
      <c r="K16" s="531"/>
      <c r="L16" s="545">
        <v>0</v>
      </c>
      <c r="M16" s="533">
        <v>0</v>
      </c>
      <c r="N16" s="546">
        <v>0</v>
      </c>
      <c r="O16" s="547"/>
      <c r="P16" s="548"/>
      <c r="Q16" s="549"/>
      <c r="R16" s="550"/>
      <c r="S16" s="539">
        <f t="shared" si="0"/>
        <v>15025.920000000002</v>
      </c>
    </row>
    <row r="17" spans="2:19" s="506" customFormat="1" ht="14.4">
      <c r="B17" s="540" t="s">
        <v>613</v>
      </c>
      <c r="C17" s="541">
        <f>Položky!H103</f>
        <v>25761.092086959998</v>
      </c>
      <c r="D17" s="542"/>
      <c r="E17" s="543"/>
      <c r="F17" s="526"/>
      <c r="G17" s="527"/>
      <c r="H17" s="544"/>
      <c r="I17" s="529"/>
      <c r="J17" s="530">
        <f t="shared" si="1"/>
        <v>25761.092086959998</v>
      </c>
      <c r="K17" s="531"/>
      <c r="L17" s="545">
        <v>0</v>
      </c>
      <c r="M17" s="533">
        <v>0</v>
      </c>
      <c r="N17" s="546">
        <f>J17</f>
        <v>25761.092086959998</v>
      </c>
      <c r="O17" s="547"/>
      <c r="P17" s="548"/>
      <c r="Q17" s="549"/>
      <c r="R17" s="550"/>
      <c r="S17" s="539">
        <f t="shared" si="0"/>
        <v>0</v>
      </c>
    </row>
    <row r="18" spans="2:19" s="506" customFormat="1" ht="14.4">
      <c r="B18" s="540" t="s">
        <v>614</v>
      </c>
      <c r="C18" s="541">
        <f>Položky!H113</f>
        <v>48000</v>
      </c>
      <c r="D18" s="542"/>
      <c r="E18" s="543"/>
      <c r="F18" s="526"/>
      <c r="G18" s="527"/>
      <c r="H18" s="544"/>
      <c r="I18" s="529"/>
      <c r="J18" s="530">
        <f t="shared" si="1"/>
        <v>48000</v>
      </c>
      <c r="K18" s="531"/>
      <c r="L18" s="545">
        <v>0</v>
      </c>
      <c r="M18" s="533">
        <v>0</v>
      </c>
      <c r="N18" s="546">
        <v>0</v>
      </c>
      <c r="O18" s="547"/>
      <c r="P18" s="548"/>
      <c r="Q18" s="549"/>
      <c r="R18" s="550"/>
      <c r="S18" s="539">
        <v>0</v>
      </c>
    </row>
    <row r="19" spans="2:19" s="506" customFormat="1" ht="14.4">
      <c r="B19" s="540" t="s">
        <v>615</v>
      </c>
      <c r="C19" s="541">
        <f>Položky!H120</f>
        <v>47000</v>
      </c>
      <c r="D19" s="542"/>
      <c r="E19" s="543"/>
      <c r="F19" s="526"/>
      <c r="G19" s="527"/>
      <c r="H19" s="544"/>
      <c r="I19" s="529"/>
      <c r="J19" s="530">
        <f t="shared" si="1"/>
        <v>47000</v>
      </c>
      <c r="K19" s="531"/>
      <c r="L19" s="545">
        <v>0</v>
      </c>
      <c r="M19" s="533">
        <v>0</v>
      </c>
      <c r="N19" s="546">
        <v>0</v>
      </c>
      <c r="O19" s="547"/>
      <c r="P19" s="548"/>
      <c r="Q19" s="549"/>
      <c r="R19" s="550"/>
      <c r="S19" s="539">
        <f t="shared" si="0"/>
        <v>47000</v>
      </c>
    </row>
    <row r="20" spans="2:19" s="506" customFormat="1" ht="14.4">
      <c r="B20" s="540" t="s">
        <v>616</v>
      </c>
      <c r="C20" s="541">
        <f>Položky!H133</f>
        <v>70000</v>
      </c>
      <c r="D20" s="542"/>
      <c r="E20" s="543"/>
      <c r="F20" s="526"/>
      <c r="G20" s="527"/>
      <c r="H20" s="544"/>
      <c r="I20" s="529"/>
      <c r="J20" s="530">
        <f t="shared" si="1"/>
        <v>70000</v>
      </c>
      <c r="K20" s="531"/>
      <c r="L20" s="545">
        <v>0</v>
      </c>
      <c r="M20" s="533">
        <v>0</v>
      </c>
      <c r="N20" s="546">
        <f>J20</f>
        <v>70000</v>
      </c>
      <c r="O20" s="547"/>
      <c r="P20" s="548"/>
      <c r="Q20" s="549"/>
      <c r="R20" s="550"/>
      <c r="S20" s="539">
        <f t="shared" si="0"/>
        <v>0</v>
      </c>
    </row>
    <row r="21" spans="2:19" s="506" customFormat="1" ht="14.4">
      <c r="B21" s="540" t="s">
        <v>617</v>
      </c>
      <c r="C21" s="541">
        <f>Položky!H145</f>
        <v>52431.9</v>
      </c>
      <c r="D21" s="542"/>
      <c r="E21" s="543"/>
      <c r="F21" s="526"/>
      <c r="G21" s="527"/>
      <c r="H21" s="544"/>
      <c r="I21" s="529"/>
      <c r="J21" s="530">
        <f t="shared" si="1"/>
        <v>52431.9</v>
      </c>
      <c r="K21" s="531"/>
      <c r="L21" s="545">
        <v>0</v>
      </c>
      <c r="M21" s="533">
        <v>0</v>
      </c>
      <c r="N21" s="546">
        <v>0</v>
      </c>
      <c r="O21" s="547"/>
      <c r="P21" s="548"/>
      <c r="Q21" s="549"/>
      <c r="R21" s="550"/>
      <c r="S21" s="539">
        <v>0</v>
      </c>
    </row>
    <row r="22" spans="2:19" s="506" customFormat="1" ht="14.4">
      <c r="B22" s="540" t="s">
        <v>618</v>
      </c>
      <c r="C22" s="541">
        <f>Položky!H150</f>
        <v>100000</v>
      </c>
      <c r="D22" s="542"/>
      <c r="E22" s="543"/>
      <c r="F22" s="526"/>
      <c r="G22" s="527"/>
      <c r="H22" s="544"/>
      <c r="I22" s="529"/>
      <c r="J22" s="530">
        <f t="shared" si="1"/>
        <v>100000</v>
      </c>
      <c r="K22" s="531"/>
      <c r="L22" s="545">
        <v>0</v>
      </c>
      <c r="M22" s="533">
        <v>0</v>
      </c>
      <c r="N22" s="546">
        <v>0</v>
      </c>
      <c r="O22" s="547"/>
      <c r="P22" s="548"/>
      <c r="Q22" s="549"/>
      <c r="R22" s="550"/>
      <c r="S22" s="539">
        <f t="shared" si="0"/>
        <v>100000</v>
      </c>
    </row>
    <row r="23" spans="2:19" s="506" customFormat="1" ht="14.4">
      <c r="B23" s="540" t="s">
        <v>619</v>
      </c>
      <c r="C23" s="541">
        <f>Položky!H166</f>
        <v>74733.11808</v>
      </c>
      <c r="D23" s="542"/>
      <c r="E23" s="543"/>
      <c r="F23" s="526"/>
      <c r="G23" s="527"/>
      <c r="H23" s="544"/>
      <c r="I23" s="529"/>
      <c r="J23" s="530">
        <f t="shared" si="1"/>
        <v>74733.11808</v>
      </c>
      <c r="K23" s="531"/>
      <c r="L23" s="545">
        <v>0</v>
      </c>
      <c r="M23" s="533">
        <v>0</v>
      </c>
      <c r="N23" s="546">
        <v>0</v>
      </c>
      <c r="O23" s="547"/>
      <c r="P23" s="548"/>
      <c r="Q23" s="549"/>
      <c r="R23" s="550"/>
      <c r="S23" s="539">
        <f t="shared" si="0"/>
        <v>74733.11808</v>
      </c>
    </row>
    <row r="24" spans="2:19" s="506" customFormat="1" ht="14.4">
      <c r="B24" s="540" t="s">
        <v>620</v>
      </c>
      <c r="C24" s="541">
        <v>0</v>
      </c>
      <c r="D24" s="542"/>
      <c r="E24" s="543"/>
      <c r="F24" s="526"/>
      <c r="G24" s="527"/>
      <c r="H24" s="544"/>
      <c r="I24" s="529"/>
      <c r="J24" s="530">
        <f t="shared" si="1"/>
        <v>0</v>
      </c>
      <c r="K24" s="531"/>
      <c r="L24" s="545">
        <v>0</v>
      </c>
      <c r="M24" s="533">
        <v>0</v>
      </c>
      <c r="N24" s="546">
        <v>0</v>
      </c>
      <c r="O24" s="547"/>
      <c r="P24" s="548"/>
      <c r="Q24" s="549"/>
      <c r="R24" s="550"/>
      <c r="S24" s="539">
        <f t="shared" si="0"/>
        <v>0</v>
      </c>
    </row>
    <row r="25" spans="2:19" s="506" customFormat="1" ht="14.4">
      <c r="B25" s="551" t="s">
        <v>621</v>
      </c>
      <c r="C25" s="541"/>
      <c r="D25" s="542"/>
      <c r="E25" s="543"/>
      <c r="F25" s="526"/>
      <c r="G25" s="527"/>
      <c r="H25" s="544"/>
      <c r="I25" s="529"/>
      <c r="J25" s="552"/>
      <c r="K25" s="531"/>
      <c r="L25" s="545"/>
      <c r="M25" s="533"/>
      <c r="N25" s="553"/>
      <c r="O25" s="547"/>
      <c r="P25" s="548"/>
      <c r="Q25" s="549"/>
      <c r="R25" s="550"/>
      <c r="S25" s="554">
        <v>0</v>
      </c>
    </row>
    <row r="26" spans="2:19" s="506" customFormat="1" ht="14.4">
      <c r="B26" s="555" t="s">
        <v>622</v>
      </c>
      <c r="C26" s="541"/>
      <c r="D26" s="542"/>
      <c r="E26" s="543"/>
      <c r="F26" s="526"/>
      <c r="G26" s="527"/>
      <c r="H26" s="544"/>
      <c r="I26" s="529"/>
      <c r="J26" s="556"/>
      <c r="K26" s="531"/>
      <c r="L26" s="545"/>
      <c r="M26" s="533"/>
      <c r="N26" s="557"/>
      <c r="O26" s="547"/>
      <c r="P26" s="548"/>
      <c r="Q26" s="549"/>
      <c r="R26" s="550"/>
      <c r="S26" s="539"/>
    </row>
    <row r="27" spans="2:19" s="506" customFormat="1" ht="15" thickBot="1">
      <c r="B27" s="558" t="s">
        <v>623</v>
      </c>
      <c r="C27" s="559">
        <f>VRN</f>
        <v>39915.370981999782</v>
      </c>
      <c r="D27" s="560"/>
      <c r="E27" s="561"/>
      <c r="F27" s="526"/>
      <c r="G27" s="527"/>
      <c r="H27" s="562"/>
      <c r="I27" s="529"/>
      <c r="J27" s="530">
        <f>(C27+G27)-E27</f>
        <v>39915.370981999782</v>
      </c>
      <c r="K27" s="563"/>
      <c r="L27" s="564">
        <v>0</v>
      </c>
      <c r="M27" s="565">
        <v>0</v>
      </c>
      <c r="N27" s="566">
        <f>J27</f>
        <v>39915.370981999782</v>
      </c>
      <c r="O27" s="567"/>
      <c r="P27" s="568"/>
      <c r="Q27" s="569"/>
      <c r="R27" s="570"/>
      <c r="S27" s="539">
        <f t="shared" si="0"/>
        <v>0</v>
      </c>
    </row>
    <row r="28" spans="2:19" s="506" customFormat="1" ht="15" thickBot="1">
      <c r="B28" s="571" t="s">
        <v>624</v>
      </c>
      <c r="C28" s="572">
        <v>0</v>
      </c>
      <c r="D28" s="573"/>
      <c r="E28" s="574">
        <f>SUM(E10:E27)</f>
        <v>0</v>
      </c>
      <c r="F28" s="575"/>
      <c r="G28" s="576">
        <f>SUM(G10:G27)</f>
        <v>0</v>
      </c>
      <c r="H28" s="577">
        <v>1</v>
      </c>
      <c r="I28" s="578"/>
      <c r="J28" s="579">
        <f>J27+J24+J23+J22+J21+J20+J19+J18+J17+J16+J15+J14+J12+J11+J10+J26-J25</f>
        <v>1656732.7846273596</v>
      </c>
      <c r="K28" s="580"/>
      <c r="L28" s="581">
        <f>SUM(L10:L27)</f>
        <v>0</v>
      </c>
      <c r="M28" s="582">
        <f>SUM(M10:M27)</f>
        <v>0</v>
      </c>
      <c r="N28" s="583">
        <f>N27+N24+N23+N22+N21+N20+N19+N18+N17+N16+N15+N14+N12+N11+N10+N26-N25</f>
        <v>938948.17355535971</v>
      </c>
      <c r="O28" s="584">
        <f>SUM(O10:O27)</f>
        <v>0</v>
      </c>
      <c r="P28" s="585">
        <f>SUM(P10:P27)</f>
        <v>0</v>
      </c>
      <c r="Q28" s="586">
        <f>SUM(Q10:Q27)</f>
        <v>0</v>
      </c>
      <c r="R28" s="587"/>
      <c r="S28" s="588">
        <v>0</v>
      </c>
    </row>
    <row r="29" spans="2:19" s="506" customFormat="1" ht="14.4">
      <c r="B29" s="589"/>
      <c r="C29" s="590"/>
      <c r="D29" s="590"/>
      <c r="E29" s="591"/>
      <c r="F29" s="592"/>
      <c r="G29" s="593"/>
      <c r="H29" s="592"/>
      <c r="I29" s="590"/>
      <c r="J29" s="590"/>
      <c r="K29" s="590"/>
      <c r="L29" s="590"/>
    </row>
    <row r="30" spans="2:19" s="506" customFormat="1" ht="15" thickBot="1">
      <c r="B30" s="589"/>
      <c r="C30" s="590"/>
      <c r="D30" s="590"/>
      <c r="E30" s="591"/>
      <c r="F30" s="592"/>
      <c r="G30" s="593"/>
      <c r="H30" s="592"/>
      <c r="I30" s="590"/>
      <c r="J30" s="590"/>
      <c r="K30" s="590"/>
      <c r="L30" s="590"/>
    </row>
    <row r="31" spans="2:19" s="506" customFormat="1" ht="15" thickBot="1">
      <c r="B31" s="589"/>
      <c r="C31" s="590"/>
      <c r="D31" s="590"/>
      <c r="E31" s="591"/>
      <c r="F31" s="592"/>
      <c r="G31" s="593"/>
      <c r="H31" s="592"/>
      <c r="I31" s="590"/>
      <c r="J31" s="513" t="s">
        <v>625</v>
      </c>
      <c r="K31" s="594"/>
      <c r="L31" s="595" t="s">
        <v>626</v>
      </c>
      <c r="M31" s="596" t="s">
        <v>627</v>
      </c>
      <c r="N31" s="597" t="s">
        <v>628</v>
      </c>
      <c r="O31" s="598" t="s">
        <v>629</v>
      </c>
      <c r="P31" s="599"/>
    </row>
    <row r="32" spans="2:19" s="506" customFormat="1" ht="14.4">
      <c r="B32" s="589"/>
      <c r="C32" s="590"/>
      <c r="D32" s="590"/>
      <c r="E32" s="591"/>
      <c r="F32" s="592"/>
      <c r="G32" s="593"/>
      <c r="H32" s="592"/>
      <c r="I32" s="590"/>
      <c r="J32" s="600" t="s">
        <v>630</v>
      </c>
      <c r="K32" s="601"/>
      <c r="L32" s="602">
        <f>L28</f>
        <v>0</v>
      </c>
      <c r="M32" s="603">
        <f>L32*0.1</f>
        <v>0</v>
      </c>
      <c r="N32" s="604">
        <v>0</v>
      </c>
      <c r="O32" s="605">
        <f t="shared" ref="O32:O37" si="2">N32+M32+L32</f>
        <v>0</v>
      </c>
      <c r="P32" s="606"/>
    </row>
    <row r="33" spans="1:19" s="506" customFormat="1" ht="14.4">
      <c r="B33" s="589"/>
      <c r="C33" s="590"/>
      <c r="D33" s="590"/>
      <c r="E33" s="591"/>
      <c r="F33" s="592"/>
      <c r="G33" s="593"/>
      <c r="H33" s="592"/>
      <c r="I33" s="590"/>
      <c r="J33" s="607" t="s">
        <v>631</v>
      </c>
      <c r="K33" s="608"/>
      <c r="L33" s="609">
        <f>M28</f>
        <v>0</v>
      </c>
      <c r="M33" s="610">
        <f>L33*0.1</f>
        <v>0</v>
      </c>
      <c r="N33" s="611">
        <v>0</v>
      </c>
      <c r="O33" s="612">
        <f t="shared" si="2"/>
        <v>0</v>
      </c>
      <c r="P33" s="606"/>
      <c r="S33" s="613"/>
    </row>
    <row r="34" spans="1:19" s="506" customFormat="1" ht="14.4">
      <c r="B34" s="589"/>
      <c r="C34" s="590"/>
      <c r="D34" s="590"/>
      <c r="E34" s="591"/>
      <c r="F34" s="592"/>
      <c r="G34" s="593"/>
      <c r="H34" s="592"/>
      <c r="I34" s="590"/>
      <c r="J34" s="614" t="s">
        <v>632</v>
      </c>
      <c r="K34" s="608"/>
      <c r="L34" s="615">
        <f>N28</f>
        <v>938948.17355535971</v>
      </c>
      <c r="M34" s="616">
        <f>L34*0.1</f>
        <v>93894.817355535983</v>
      </c>
      <c r="N34" s="617">
        <v>0</v>
      </c>
      <c r="O34" s="618">
        <f t="shared" si="2"/>
        <v>1032842.9909108956</v>
      </c>
      <c r="P34" s="606"/>
    </row>
    <row r="35" spans="1:19" s="506" customFormat="1" ht="14.4">
      <c r="B35" s="589"/>
      <c r="C35" s="590"/>
      <c r="D35" s="590"/>
      <c r="E35" s="591"/>
      <c r="F35" s="592"/>
      <c r="G35" s="593"/>
      <c r="H35" s="592"/>
      <c r="I35" s="590"/>
      <c r="J35" s="619" t="s">
        <v>633</v>
      </c>
      <c r="K35" s="620"/>
      <c r="L35" s="621">
        <f>O28</f>
        <v>0</v>
      </c>
      <c r="M35" s="622">
        <f>L35*0.09</f>
        <v>0</v>
      </c>
      <c r="N35" s="623">
        <v>0</v>
      </c>
      <c r="O35" s="624">
        <f t="shared" si="2"/>
        <v>0</v>
      </c>
      <c r="P35" s="606"/>
    </row>
    <row r="36" spans="1:19" s="506" customFormat="1" ht="14.4">
      <c r="B36" s="589"/>
      <c r="C36" s="590"/>
      <c r="D36" s="590"/>
      <c r="E36" s="591"/>
      <c r="F36" s="592"/>
      <c r="G36" s="593"/>
      <c r="H36" s="592"/>
      <c r="I36" s="590"/>
      <c r="J36" s="625" t="s">
        <v>634</v>
      </c>
      <c r="K36" s="620"/>
      <c r="L36" s="626">
        <f>P28</f>
        <v>0</v>
      </c>
      <c r="M36" s="627">
        <f>L36*0.09</f>
        <v>0</v>
      </c>
      <c r="N36" s="628">
        <v>0</v>
      </c>
      <c r="O36" s="629">
        <f t="shared" si="2"/>
        <v>0</v>
      </c>
      <c r="P36" s="606"/>
    </row>
    <row r="37" spans="1:19" s="506" customFormat="1" ht="15" thickBot="1">
      <c r="B37" s="589"/>
      <c r="C37" s="590"/>
      <c r="D37" s="590"/>
      <c r="E37" s="591"/>
      <c r="F37" s="592"/>
      <c r="G37" s="593"/>
      <c r="H37" s="592"/>
      <c r="I37" s="590"/>
      <c r="J37" s="630" t="s">
        <v>635</v>
      </c>
      <c r="K37" s="631"/>
      <c r="L37" s="632">
        <f>Q28</f>
        <v>0</v>
      </c>
      <c r="M37" s="633">
        <f>L36*0.09</f>
        <v>0</v>
      </c>
      <c r="N37" s="634">
        <v>0</v>
      </c>
      <c r="O37" s="635">
        <f t="shared" si="2"/>
        <v>0</v>
      </c>
      <c r="P37" s="606"/>
    </row>
    <row r="38" spans="1:19" s="506" customFormat="1" ht="14.4">
      <c r="B38" s="589"/>
      <c r="C38" s="590"/>
      <c r="D38" s="590"/>
      <c r="E38" s="591"/>
      <c r="F38" s="592"/>
      <c r="G38" s="593"/>
      <c r="H38" s="592"/>
      <c r="I38" s="590"/>
      <c r="J38" s="590"/>
      <c r="K38" s="590"/>
      <c r="L38" s="590">
        <f>SUM(L32:L37)</f>
        <v>938948.17355535971</v>
      </c>
      <c r="O38" s="613">
        <f>SUM(O32:O37)</f>
        <v>1032842.9909108956</v>
      </c>
    </row>
    <row r="39" spans="1:19" s="506" customFormat="1" ht="21.75" customHeight="1">
      <c r="B39" s="636"/>
      <c r="C39" s="636"/>
      <c r="D39" s="636"/>
      <c r="F39" s="637"/>
      <c r="H39" s="637"/>
      <c r="J39" s="613"/>
      <c r="K39" s="613"/>
      <c r="L39" s="638"/>
    </row>
    <row r="40" spans="1:19" s="506" customFormat="1" ht="15" thickBot="1">
      <c r="A40" s="639"/>
      <c r="B40" s="636"/>
      <c r="C40" s="636"/>
      <c r="D40" s="636"/>
      <c r="F40" s="637"/>
      <c r="H40" s="637"/>
      <c r="J40" s="613"/>
      <c r="K40" s="613"/>
      <c r="L40" s="640"/>
      <c r="M40" s="638"/>
      <c r="N40" s="641"/>
      <c r="O40" s="642"/>
      <c r="P40" s="643"/>
      <c r="Q40" s="643"/>
    </row>
    <row r="41" spans="1:19" s="506" customFormat="1" ht="14.4">
      <c r="A41" s="639"/>
      <c r="B41" s="644" t="s">
        <v>636</v>
      </c>
      <c r="C41" s="645"/>
      <c r="D41" s="645"/>
      <c r="E41" s="646"/>
      <c r="F41" s="647"/>
      <c r="G41" s="646"/>
      <c r="H41" s="647"/>
      <c r="I41" s="646"/>
      <c r="J41" s="648">
        <f>J28</f>
        <v>1656732.7846273596</v>
      </c>
      <c r="K41" s="641"/>
      <c r="L41" s="640"/>
      <c r="M41" s="638"/>
      <c r="N41" s="641"/>
      <c r="O41" s="642"/>
      <c r="P41" s="643"/>
      <c r="Q41" s="643"/>
    </row>
    <row r="42" spans="1:19" s="506" customFormat="1" ht="14.4">
      <c r="B42" s="649" t="s">
        <v>637</v>
      </c>
      <c r="C42" s="650"/>
      <c r="D42" s="650"/>
      <c r="E42" s="651"/>
      <c r="F42" s="652"/>
      <c r="G42" s="651"/>
      <c r="H42" s="652"/>
      <c r="I42" s="651"/>
      <c r="J42" s="653">
        <f>J24*0.19</f>
        <v>0</v>
      </c>
      <c r="K42" s="638"/>
      <c r="L42" s="640"/>
      <c r="M42" s="654"/>
      <c r="N42" s="641"/>
      <c r="O42" s="655"/>
      <c r="P42" s="643"/>
      <c r="Q42" s="643"/>
    </row>
    <row r="43" spans="1:19" s="506" customFormat="1" ht="15" thickBot="1">
      <c r="B43" s="656" t="s">
        <v>638</v>
      </c>
      <c r="C43" s="657"/>
      <c r="D43" s="657"/>
      <c r="E43" s="643"/>
      <c r="F43" s="658"/>
      <c r="G43" s="643"/>
      <c r="H43" s="658"/>
      <c r="I43" s="643"/>
      <c r="J43" s="659">
        <f>(J41/100)*10</f>
        <v>165673.27846273594</v>
      </c>
      <c r="K43" s="641"/>
      <c r="L43" s="641"/>
      <c r="Q43" s="643"/>
    </row>
    <row r="44" spans="1:19" s="506" customFormat="1" ht="15" thickBot="1">
      <c r="B44" s="660" t="s">
        <v>639</v>
      </c>
      <c r="C44" s="661"/>
      <c r="D44" s="661"/>
      <c r="E44" s="662"/>
      <c r="F44" s="663"/>
      <c r="G44" s="662"/>
      <c r="H44" s="663"/>
      <c r="I44" s="662"/>
      <c r="J44" s="664">
        <f>J43+J41</f>
        <v>1822406.0630900955</v>
      </c>
      <c r="K44" s="638"/>
      <c r="L44" s="638"/>
    </row>
    <row r="45" spans="1:19" s="506" customFormat="1" ht="14.4">
      <c r="B45" s="665"/>
      <c r="C45" s="666"/>
      <c r="D45" s="666"/>
      <c r="E45" s="667"/>
      <c r="F45" s="668"/>
      <c r="G45" s="654"/>
      <c r="H45" s="669"/>
      <c r="I45" s="654"/>
      <c r="J45" s="638"/>
      <c r="K45" s="638"/>
      <c r="L45" s="638"/>
      <c r="M45" s="613"/>
    </row>
    <row r="46" spans="1:19" s="506" customFormat="1" ht="14.4">
      <c r="B46" s="636"/>
      <c r="C46" s="636"/>
      <c r="D46" s="636"/>
      <c r="F46" s="637"/>
      <c r="H46" s="637"/>
      <c r="J46" s="613"/>
      <c r="K46" s="613"/>
      <c r="L46" s="613"/>
      <c r="M46" s="613"/>
    </row>
    <row r="47" spans="1:19" s="506" customFormat="1" ht="14.4">
      <c r="B47" s="636"/>
      <c r="C47" s="636"/>
      <c r="D47" s="636"/>
      <c r="F47" s="637"/>
      <c r="H47" s="637"/>
      <c r="J47" s="613"/>
      <c r="K47" s="613"/>
      <c r="L47" s="613"/>
      <c r="M47" s="613"/>
    </row>
    <row r="48" spans="1:19" s="506" customFormat="1" ht="14.4">
      <c r="B48" s="636"/>
      <c r="C48" s="636"/>
      <c r="D48" s="636"/>
      <c r="F48" s="637"/>
      <c r="H48" s="637"/>
      <c r="J48" s="613"/>
      <c r="K48" s="613"/>
      <c r="L48" s="613"/>
    </row>
    <row r="49" spans="2:16" s="506" customFormat="1" ht="15" thickBot="1">
      <c r="B49" s="670"/>
      <c r="C49" s="657"/>
      <c r="D49" s="657"/>
      <c r="E49" s="643"/>
      <c r="F49" s="658"/>
      <c r="G49" s="643"/>
      <c r="H49" s="658"/>
      <c r="I49" s="643"/>
      <c r="J49" s="641"/>
      <c r="K49" s="641"/>
      <c r="L49" s="671" t="s">
        <v>640</v>
      </c>
      <c r="M49" s="671"/>
      <c r="N49" s="671"/>
      <c r="O49" s="671"/>
      <c r="P49" s="643"/>
    </row>
    <row r="50" spans="2:16" s="506" customFormat="1" ht="15" thickTop="1">
      <c r="B50" s="636"/>
      <c r="C50" s="636"/>
      <c r="D50" s="636"/>
      <c r="F50" s="637"/>
      <c r="H50" s="637"/>
      <c r="J50" s="613"/>
      <c r="K50" s="613"/>
      <c r="L50" s="613"/>
    </row>
    <row r="51" spans="2:16" s="672" customFormat="1" ht="13.8">
      <c r="B51" s="673"/>
      <c r="C51" s="673"/>
      <c r="D51" s="673"/>
      <c r="F51" s="674"/>
      <c r="H51" s="674"/>
      <c r="J51" s="675"/>
      <c r="K51" s="675"/>
      <c r="L51" s="675"/>
    </row>
    <row r="52" spans="2:16" s="672" customFormat="1" ht="13.8">
      <c r="B52" s="673"/>
      <c r="C52" s="673"/>
      <c r="D52" s="673"/>
      <c r="F52" s="674"/>
      <c r="H52" s="674"/>
      <c r="J52" s="675"/>
      <c r="K52" s="675"/>
      <c r="L52" s="675"/>
    </row>
    <row r="53" spans="2:16" s="672" customFormat="1" ht="13.8">
      <c r="B53" s="673"/>
      <c r="C53" s="673"/>
      <c r="D53" s="673"/>
      <c r="F53" s="674"/>
      <c r="H53" s="674"/>
      <c r="J53" s="675"/>
      <c r="K53" s="675"/>
      <c r="L53" s="675"/>
    </row>
    <row r="54" spans="2:16" s="672" customFormat="1" ht="13.8">
      <c r="B54" s="673"/>
      <c r="C54" s="673"/>
      <c r="D54" s="673"/>
      <c r="F54" s="674"/>
      <c r="H54" s="674"/>
      <c r="J54" s="675"/>
      <c r="K54" s="675"/>
      <c r="L54" s="675"/>
    </row>
  </sheetData>
  <phoneticPr fontId="24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E39"/>
  <sheetViews>
    <sheetView workbookViewId="0">
      <selection activeCell="P17" sqref="P17"/>
    </sheetView>
  </sheetViews>
  <sheetFormatPr defaultRowHeight="13.2"/>
  <cols>
    <col min="2" max="2" width="12.6640625" customWidth="1"/>
    <col min="4" max="4" width="15.6640625" customWidth="1"/>
  </cols>
  <sheetData>
    <row r="1" spans="1:5">
      <c r="A1" t="s">
        <v>910</v>
      </c>
      <c r="B1" s="101"/>
    </row>
    <row r="2" spans="1:5">
      <c r="B2" s="101" t="s">
        <v>60</v>
      </c>
      <c r="C2" t="s">
        <v>911</v>
      </c>
      <c r="D2" t="s">
        <v>624</v>
      </c>
    </row>
    <row r="3" spans="1:5">
      <c r="A3" t="s">
        <v>118</v>
      </c>
      <c r="B3" s="101">
        <f>'Výkaz výměr'!D8</f>
        <v>11.507059199999999</v>
      </c>
      <c r="C3">
        <v>11500</v>
      </c>
      <c r="D3">
        <f>B3*C3</f>
        <v>132331.18079999997</v>
      </c>
    </row>
    <row r="4" spans="1:5">
      <c r="A4" t="s">
        <v>912</v>
      </c>
      <c r="B4" s="101">
        <f>B5+B7</f>
        <v>251.416</v>
      </c>
      <c r="C4">
        <v>20</v>
      </c>
      <c r="D4">
        <f>B4*C4</f>
        <v>5028.32</v>
      </c>
      <c r="E4">
        <v>327.86</v>
      </c>
    </row>
    <row r="5" spans="1:5">
      <c r="A5" t="s">
        <v>913</v>
      </c>
      <c r="B5" s="101">
        <f>'Výkaz výměr'!N42</f>
        <v>111.416</v>
      </c>
      <c r="C5">
        <v>705</v>
      </c>
      <c r="D5">
        <f>B5*C5</f>
        <v>78548.28</v>
      </c>
    </row>
    <row r="6" spans="1:5">
      <c r="A6" t="s">
        <v>918</v>
      </c>
      <c r="B6" s="101">
        <f>'Výkaz výměr'!N53</f>
        <v>81.12</v>
      </c>
      <c r="C6">
        <v>150</v>
      </c>
      <c r="D6">
        <f>B6*C6</f>
        <v>12168</v>
      </c>
    </row>
    <row r="7" spans="1:5">
      <c r="A7" t="s">
        <v>394</v>
      </c>
      <c r="B7" s="101">
        <f>'Výkaz výměr'!N86</f>
        <v>140</v>
      </c>
      <c r="C7">
        <v>625</v>
      </c>
      <c r="D7">
        <f>B7*C7</f>
        <v>87500</v>
      </c>
    </row>
    <row r="8" spans="1:5">
      <c r="B8" s="101"/>
    </row>
    <row r="9" spans="1:5">
      <c r="A9" t="s">
        <v>914</v>
      </c>
      <c r="B9" s="101">
        <f>'Položky sumář'!F69</f>
        <v>50</v>
      </c>
      <c r="C9">
        <v>500</v>
      </c>
      <c r="D9">
        <f>B9*C9</f>
        <v>25000</v>
      </c>
    </row>
    <row r="10" spans="1:5">
      <c r="B10" s="101"/>
    </row>
    <row r="11" spans="1:5">
      <c r="A11" t="s">
        <v>915</v>
      </c>
      <c r="B11" s="101">
        <f>'Položky sumář'!F54+'Položky sumář'!F55+'Položky sumář'!F58+'Položky sumář'!F59</f>
        <v>226.38400000000001</v>
      </c>
      <c r="C11">
        <v>630</v>
      </c>
      <c r="D11">
        <f>B11*C11</f>
        <v>142621.92000000001</v>
      </c>
    </row>
    <row r="12" spans="1:5">
      <c r="A12" t="s">
        <v>916</v>
      </c>
      <c r="B12" s="101">
        <f>'Položky sumář'!F52+'Položky sumář'!F53+'Položky sumář'!F56+'Položky sumář'!F57</f>
        <v>104.5</v>
      </c>
      <c r="C12">
        <v>435</v>
      </c>
      <c r="D12">
        <f>B12*C12</f>
        <v>45457.5</v>
      </c>
    </row>
    <row r="13" spans="1:5">
      <c r="B13" s="101"/>
    </row>
    <row r="14" spans="1:5">
      <c r="A14" t="s">
        <v>555</v>
      </c>
      <c r="B14" s="101">
        <f>B5</f>
        <v>111.416</v>
      </c>
      <c r="C14">
        <v>800</v>
      </c>
      <c r="D14">
        <f>B14*C14</f>
        <v>89132.800000000003</v>
      </c>
    </row>
    <row r="15" spans="1:5">
      <c r="B15" s="101"/>
    </row>
    <row r="16" spans="1:5">
      <c r="A16" t="s">
        <v>445</v>
      </c>
      <c r="B16" s="101">
        <f>'Položky sumář'!H14+'Položky sumář'!H15+'Položky sumář'!H16+'Položky sumář'!H40+'Položky sumář'!H70+'Položky sumář'!H75+'Položky sumář'!H79+'Položky sumář'!H89+'Položky sumář'!H98+'Položky sumář'!H112+'Položky sumář'!H128+'Položky sumář'!H133+'Položky sumář'!H143+'Položky sumář'!H150+'Krycí list'!G22+'Krycí list'!G24</f>
        <v>843784.77357645985</v>
      </c>
    </row>
    <row r="17" spans="1:4">
      <c r="A17" s="692">
        <v>0.08</v>
      </c>
      <c r="B17" s="101">
        <f>B16/100*8</f>
        <v>67502.781886116791</v>
      </c>
      <c r="D17" s="67"/>
    </row>
    <row r="18" spans="1:4">
      <c r="B18" s="101">
        <f>B16-B17</f>
        <v>776281.99169034301</v>
      </c>
      <c r="D18" s="67">
        <f>B18</f>
        <v>776281.99169034301</v>
      </c>
    </row>
    <row r="19" spans="1:4">
      <c r="A19" t="s">
        <v>923</v>
      </c>
      <c r="B19" s="101">
        <f>B18/100*8</f>
        <v>62102.559335227445</v>
      </c>
      <c r="D19" s="101">
        <f>B19</f>
        <v>62102.559335227445</v>
      </c>
    </row>
    <row r="20" spans="1:4">
      <c r="B20" s="101"/>
    </row>
    <row r="21" spans="1:4">
      <c r="B21" s="101"/>
    </row>
    <row r="22" spans="1:4">
      <c r="A22" t="s">
        <v>545</v>
      </c>
      <c r="B22" s="101"/>
      <c r="D22" s="67">
        <f>D3+D4+D5+D6+D7+D8+D9+D10+D11+D12+D13+D14+D15+D16+D17+D18+D19+D20+D21</f>
        <v>1456172.5518255704</v>
      </c>
    </row>
    <row r="23" spans="1:4">
      <c r="B23" s="101"/>
    </row>
    <row r="24" spans="1:4">
      <c r="B24" s="101"/>
    </row>
    <row r="25" spans="1:4">
      <c r="A25" t="s">
        <v>568</v>
      </c>
      <c r="B25" s="101"/>
      <c r="D25">
        <f>Zaklad5</f>
        <v>1775366</v>
      </c>
    </row>
    <row r="26" spans="1:4">
      <c r="B26" s="101"/>
    </row>
    <row r="27" spans="1:4">
      <c r="B27" s="101"/>
    </row>
    <row r="28" spans="1:4">
      <c r="B28" s="101"/>
    </row>
    <row r="29" spans="1:4">
      <c r="A29" t="s">
        <v>917</v>
      </c>
      <c r="B29" s="101"/>
      <c r="D29" s="67">
        <f>D25-D22</f>
        <v>319193.44817442959</v>
      </c>
    </row>
    <row r="30" spans="1:4">
      <c r="B30" s="101"/>
    </row>
    <row r="31" spans="1:4">
      <c r="A31" t="s">
        <v>45</v>
      </c>
      <c r="B31" s="101"/>
      <c r="D31" s="101">
        <f>D29/D25*100</f>
        <v>17.979022250872756</v>
      </c>
    </row>
    <row r="32" spans="1:4">
      <c r="B32" s="101"/>
    </row>
    <row r="33" spans="2:2">
      <c r="B33" s="101"/>
    </row>
    <row r="34" spans="2:2">
      <c r="B34" s="101"/>
    </row>
    <row r="35" spans="2:2">
      <c r="B35" s="101"/>
    </row>
    <row r="36" spans="2:2">
      <c r="B36" s="101"/>
    </row>
    <row r="37" spans="2:2">
      <c r="B37" s="101"/>
    </row>
    <row r="38" spans="2:2">
      <c r="B38" s="101"/>
    </row>
    <row r="39" spans="2:2">
      <c r="B39" s="101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0"/>
  </sheetPr>
  <dimension ref="A1:BB56"/>
  <sheetViews>
    <sheetView tabSelected="1" topLeftCell="A13" workbookViewId="0">
      <selection activeCell="K30" sqref="K30"/>
    </sheetView>
  </sheetViews>
  <sheetFormatPr defaultRowHeight="13.2"/>
  <cols>
    <col min="1" max="1" width="16" customWidth="1"/>
    <col min="2" max="2" width="17.88671875" customWidth="1"/>
    <col min="3" max="3" width="15.88671875" customWidth="1"/>
    <col min="4" max="4" width="14.5546875" customWidth="1"/>
    <col min="5" max="5" width="16.33203125" customWidth="1"/>
    <col min="6" max="6" width="16.5546875" customWidth="1"/>
    <col min="7" max="7" width="14" customWidth="1"/>
  </cols>
  <sheetData>
    <row r="1" spans="1:54" s="6" customFormat="1"/>
    <row r="2" spans="1:54" s="6" customFormat="1" ht="48" customHeight="1">
      <c r="A2" s="408"/>
    </row>
    <row r="3" spans="1:54" s="6" customFormat="1" ht="24" customHeight="1">
      <c r="A3" s="320" t="s">
        <v>466</v>
      </c>
    </row>
    <row r="4" spans="1:54" s="6" customFormat="1">
      <c r="A4" s="321" t="s">
        <v>925</v>
      </c>
    </row>
    <row r="5" spans="1:54" s="6" customFormat="1">
      <c r="A5" s="773"/>
    </row>
    <row r="6" spans="1:54" s="6" customFormat="1">
      <c r="A6" s="773" t="s">
        <v>774</v>
      </c>
    </row>
    <row r="7" spans="1:54" ht="21.75" customHeight="1">
      <c r="A7" s="49" t="s">
        <v>0</v>
      </c>
      <c r="B7" s="322"/>
      <c r="C7" s="322"/>
      <c r="D7" s="322"/>
      <c r="E7" s="322"/>
      <c r="F7" s="322"/>
      <c r="G7" s="322"/>
    </row>
    <row r="8" spans="1:54" ht="15" customHeight="1" thickBot="1">
      <c r="A8" s="155"/>
      <c r="B8" s="155"/>
      <c r="C8" s="6"/>
      <c r="D8" s="6"/>
      <c r="E8" s="6"/>
      <c r="F8" s="6"/>
      <c r="G8" s="6"/>
    </row>
    <row r="9" spans="1:54" ht="15.75" customHeight="1" thickBot="1">
      <c r="A9" s="2" t="s">
        <v>1</v>
      </c>
      <c r="B9" s="409"/>
      <c r="C9" s="275" t="s">
        <v>2</v>
      </c>
      <c r="D9" s="275"/>
      <c r="E9" s="275"/>
      <c r="F9" s="275"/>
      <c r="G9" s="401" t="s">
        <v>514</v>
      </c>
    </row>
    <row r="10" spans="1:54" ht="12.9" customHeight="1">
      <c r="A10" s="5"/>
      <c r="B10" s="325"/>
      <c r="C10" s="276" t="s">
        <v>170</v>
      </c>
      <c r="D10" s="277"/>
      <c r="E10" s="277"/>
      <c r="F10" s="277"/>
      <c r="G10" s="278"/>
    </row>
    <row r="11" spans="1:54" ht="12.9" customHeight="1">
      <c r="A11" s="8" t="s">
        <v>4</v>
      </c>
      <c r="B11" s="326"/>
      <c r="C11" s="279" t="s">
        <v>5</v>
      </c>
      <c r="D11" s="481" t="str">
        <f>zákazník!B16</f>
        <v>2x2+ KK</v>
      </c>
      <c r="E11" s="481" t="str">
        <f>Investor!D2</f>
        <v>dle podkladů</v>
      </c>
      <c r="F11" s="280"/>
      <c r="G11" s="281"/>
    </row>
    <row r="12" spans="1:54" ht="12.9" customHeight="1">
      <c r="A12" s="5"/>
      <c r="B12" s="325" t="s">
        <v>387</v>
      </c>
      <c r="C12" s="276" t="s">
        <v>58</v>
      </c>
      <c r="D12" s="319" t="s">
        <v>464</v>
      </c>
      <c r="E12" s="319" t="s">
        <v>927</v>
      </c>
      <c r="F12" s="399"/>
      <c r="G12" s="278"/>
    </row>
    <row r="13" spans="1:54">
      <c r="A13" s="8" t="s">
        <v>6</v>
      </c>
      <c r="B13" s="327"/>
      <c r="C13" s="934"/>
      <c r="D13" s="935"/>
      <c r="E13" s="282"/>
      <c r="F13" s="283"/>
      <c r="G13" s="284"/>
    </row>
    <row r="14" spans="1:54">
      <c r="A14" s="18" t="s">
        <v>7</v>
      </c>
      <c r="B14" s="328"/>
      <c r="C14" s="277"/>
      <c r="D14" s="277"/>
      <c r="E14" s="285" t="s">
        <v>8</v>
      </c>
      <c r="F14" s="277" t="s">
        <v>443</v>
      </c>
      <c r="G14" s="278"/>
      <c r="H14" s="173"/>
      <c r="AX14" s="20"/>
      <c r="AY14" s="20"/>
      <c r="AZ14" s="20"/>
      <c r="BA14" s="20"/>
      <c r="BB14" s="20"/>
    </row>
    <row r="15" spans="1:54" ht="13.8" thickBot="1">
      <c r="A15" s="153"/>
      <c r="B15" s="329"/>
      <c r="C15" s="330"/>
      <c r="D15" s="330"/>
      <c r="E15" s="936"/>
      <c r="F15" s="937"/>
      <c r="G15" s="938"/>
    </row>
    <row r="16" spans="1:54" ht="28.5" customHeight="1" thickBot="1">
      <c r="A16" s="331" t="s">
        <v>9</v>
      </c>
      <c r="B16" s="323"/>
      <c r="C16" s="323"/>
      <c r="D16" s="323"/>
      <c r="E16" s="324"/>
      <c r="F16" s="332"/>
      <c r="G16" s="333"/>
    </row>
    <row r="17" spans="1:7" ht="17.25" customHeight="1" thickBot="1">
      <c r="A17" s="21" t="s">
        <v>10</v>
      </c>
      <c r="B17" s="22"/>
      <c r="C17" s="23"/>
      <c r="D17" s="24" t="s">
        <v>11</v>
      </c>
      <c r="E17" s="25"/>
      <c r="F17" s="25"/>
      <c r="G17" s="23"/>
    </row>
    <row r="18" spans="1:7" ht="15.9" customHeight="1">
      <c r="A18" s="334"/>
      <c r="B18" s="335" t="s">
        <v>12</v>
      </c>
      <c r="C18" s="336">
        <f>Dodavka</f>
        <v>0</v>
      </c>
      <c r="D18" s="29" t="str">
        <f>'Rozpočet-sumář'!A27</f>
        <v>Ztížené výrobní podmínky</v>
      </c>
      <c r="E18" s="30"/>
      <c r="F18" s="31"/>
      <c r="G18" s="336">
        <v>0</v>
      </c>
    </row>
    <row r="19" spans="1:7" ht="15.9" customHeight="1" thickBot="1">
      <c r="A19" s="26" t="s">
        <v>13</v>
      </c>
      <c r="B19" s="6" t="s">
        <v>14</v>
      </c>
      <c r="C19" s="174">
        <f>Mont</f>
        <v>0</v>
      </c>
      <c r="D19" s="14" t="str">
        <f>'Rozpočet-sumář'!A28</f>
        <v>Oborová přirážka</v>
      </c>
      <c r="E19" s="32"/>
      <c r="F19" s="33"/>
      <c r="G19" s="28">
        <f>'Rozpočet-sumář'!I28</f>
        <v>0</v>
      </c>
    </row>
    <row r="20" spans="1:7" ht="15.9" customHeight="1" thickBot="1">
      <c r="A20" s="175" t="s">
        <v>15</v>
      </c>
      <c r="B20" s="176" t="s">
        <v>16</v>
      </c>
      <c r="C20" s="177">
        <f>'Rozpočet-sumář (2)'!HSV</f>
        <v>1923012.6481688602</v>
      </c>
      <c r="D20" s="14" t="str">
        <f>'Rozpočet-sumář'!A29</f>
        <v>Přesun stavebních kapacit</v>
      </c>
      <c r="E20" s="32"/>
      <c r="F20" s="33"/>
      <c r="G20" s="28">
        <f>'Rozpočet-sumář'!I29</f>
        <v>0</v>
      </c>
    </row>
    <row r="21" spans="1:7" ht="15.9" customHeight="1" thickBot="1">
      <c r="A21" s="287" t="s">
        <v>17</v>
      </c>
      <c r="B21" s="288" t="s">
        <v>154</v>
      </c>
      <c r="C21" s="289">
        <f>PSV</f>
        <v>286312.58</v>
      </c>
      <c r="D21" s="14" t="str">
        <f>'Rozpočet-sumář'!A30</f>
        <v>Mimostaveništní doprava</v>
      </c>
      <c r="E21" s="32"/>
      <c r="F21" s="33"/>
      <c r="G21" s="28">
        <f>'Rozpočet-sumář'!I30</f>
        <v>0</v>
      </c>
    </row>
    <row r="22" spans="1:7" ht="15.9" customHeight="1">
      <c r="A22" s="34" t="s">
        <v>18</v>
      </c>
      <c r="B22" s="27"/>
      <c r="C22" s="28">
        <f>SUM(C18:C21)</f>
        <v>2209325.2281688601</v>
      </c>
      <c r="D22" s="35" t="str">
        <f>'Rozpočet-sumář'!A31</f>
        <v>Zařízení staveniště</v>
      </c>
      <c r="E22" s="32"/>
      <c r="F22" s="33" t="s">
        <v>451</v>
      </c>
      <c r="G22" s="28">
        <f>'Rozpočet-sumář (2)'!I26</f>
        <v>38589.203650701762</v>
      </c>
    </row>
    <row r="23" spans="1:7" ht="15.9" customHeight="1">
      <c r="A23" s="34"/>
      <c r="B23" s="27"/>
      <c r="C23" s="28"/>
      <c r="D23" s="14" t="str">
        <f>'Rozpočet-sumář'!A32</f>
        <v>Provoz investora</v>
      </c>
      <c r="E23" s="32"/>
      <c r="F23" s="33"/>
      <c r="G23" s="28">
        <f>'Rozpočet-sumář'!I32</f>
        <v>0</v>
      </c>
    </row>
    <row r="24" spans="1:7" ht="15.9" customHeight="1">
      <c r="A24" s="34" t="s">
        <v>19</v>
      </c>
      <c r="B24" s="27"/>
      <c r="C24" s="28">
        <f>HZS</f>
        <v>0</v>
      </c>
      <c r="D24" s="14" t="str">
        <f>'Rozpočet-sumář'!A33</f>
        <v>Odpady</v>
      </c>
      <c r="E24" s="32"/>
      <c r="F24" s="33"/>
      <c r="G24" s="28"/>
    </row>
    <row r="25" spans="1:7" ht="15.9" customHeight="1" thickBot="1">
      <c r="A25" s="18" t="s">
        <v>20</v>
      </c>
      <c r="B25" s="6"/>
      <c r="C25" s="28">
        <f>C22+C24</f>
        <v>2209325.2281688601</v>
      </c>
      <c r="D25" s="8" t="s">
        <v>21</v>
      </c>
      <c r="E25" s="223"/>
      <c r="F25" s="9" t="s">
        <v>452</v>
      </c>
      <c r="G25" s="174">
        <f>'Rozpočet-sumář (2)'!I33</f>
        <v>16882.776597182019</v>
      </c>
    </row>
    <row r="26" spans="1:7" ht="15.9" customHeight="1" thickBot="1">
      <c r="A26" s="14" t="s">
        <v>22</v>
      </c>
      <c r="B26" s="15"/>
      <c r="C26" s="36">
        <f>C25+G26</f>
        <v>2264797.2084167437</v>
      </c>
      <c r="D26" s="293" t="s">
        <v>23</v>
      </c>
      <c r="E26" s="294"/>
      <c r="F26" s="295"/>
      <c r="G26" s="296">
        <f>G18+G19+G20+G21+G22+G23+G24+G25</f>
        <v>55471.980247883781</v>
      </c>
    </row>
    <row r="27" spans="1:7">
      <c r="A27" s="2" t="s">
        <v>24</v>
      </c>
      <c r="B27" s="3" t="s">
        <v>858</v>
      </c>
      <c r="C27" s="37" t="s">
        <v>25</v>
      </c>
      <c r="D27" s="3" t="s">
        <v>475</v>
      </c>
      <c r="E27" s="37" t="s">
        <v>26</v>
      </c>
      <c r="F27" s="3"/>
      <c r="G27" s="4"/>
    </row>
    <row r="28" spans="1:7">
      <c r="A28" s="8"/>
      <c r="B28" s="10"/>
      <c r="C28" s="11" t="s">
        <v>645</v>
      </c>
      <c r="D28" s="10"/>
      <c r="E28" s="11" t="s">
        <v>27</v>
      </c>
      <c r="F28" s="10"/>
      <c r="G28" s="12"/>
    </row>
    <row r="29" spans="1:7">
      <c r="A29" s="18" t="s">
        <v>28</v>
      </c>
      <c r="B29" s="680">
        <f ca="1">Investor!E2</f>
        <v>44599.641993171295</v>
      </c>
      <c r="C29" s="19" t="s">
        <v>28</v>
      </c>
      <c r="D29" s="680">
        <f ca="1">Investor!E2</f>
        <v>44599.641993171295</v>
      </c>
      <c r="E29" s="19" t="s">
        <v>28</v>
      </c>
      <c r="F29" s="6"/>
      <c r="G29" s="7"/>
    </row>
    <row r="30" spans="1:7">
      <c r="A30" s="18"/>
      <c r="B30" s="38"/>
      <c r="C30" s="19" t="s">
        <v>29</v>
      </c>
      <c r="D30" s="6"/>
      <c r="E30" s="19" t="s">
        <v>30</v>
      </c>
      <c r="F30" s="6"/>
      <c r="G30" s="7"/>
    </row>
    <row r="31" spans="1:7">
      <c r="A31" s="18"/>
      <c r="B31" s="6"/>
      <c r="C31" s="19"/>
      <c r="D31" s="6"/>
      <c r="E31" s="19"/>
      <c r="F31" s="6"/>
      <c r="G31" s="7"/>
    </row>
    <row r="32" spans="1:7" ht="36" customHeight="1">
      <c r="A32" s="18"/>
      <c r="B32" s="6"/>
      <c r="C32" s="19"/>
      <c r="D32" s="6"/>
      <c r="E32" s="19"/>
      <c r="F32" s="6"/>
      <c r="G32" s="7"/>
    </row>
    <row r="33" spans="1:8">
      <c r="A33" s="8" t="s">
        <v>31</v>
      </c>
      <c r="B33" s="10"/>
      <c r="C33" s="39"/>
      <c r="D33" s="10"/>
      <c r="E33" s="11"/>
      <c r="F33" s="40">
        <f>'Rozpočet-sumář (2)'!HSV+'Rozpočet-sumář (2)'!PSV+'Rozpočet-sumář (2)'!VRN</f>
        <v>2467297.2084167437</v>
      </c>
      <c r="G33" s="12"/>
      <c r="H33" s="100"/>
    </row>
    <row r="34" spans="1:8">
      <c r="A34" s="8" t="s">
        <v>33</v>
      </c>
      <c r="B34" s="10"/>
      <c r="C34" s="39">
        <v>15</v>
      </c>
      <c r="D34" s="10" t="s">
        <v>32</v>
      </c>
      <c r="E34" s="11"/>
      <c r="F34" s="41">
        <f>Zaklad5/100*15</f>
        <v>370094.58126251155</v>
      </c>
      <c r="G34" s="17"/>
    </row>
    <row r="35" spans="1:8">
      <c r="A35" s="8"/>
      <c r="B35" s="10"/>
      <c r="C35" s="39"/>
      <c r="D35" s="10"/>
      <c r="E35" s="11"/>
      <c r="F35" s="828"/>
      <c r="G35" s="12"/>
    </row>
    <row r="36" spans="1:8" s="42" customFormat="1" ht="19.5" customHeight="1" thickBot="1">
      <c r="A36" s="297" t="s">
        <v>34</v>
      </c>
      <c r="B36" s="298"/>
      <c r="C36" s="298"/>
      <c r="D36" s="298"/>
      <c r="E36" s="299"/>
      <c r="F36" s="300">
        <f>CEILING(SUM(F33:F35),1)</f>
        <v>2837392</v>
      </c>
      <c r="G36" s="829"/>
    </row>
    <row r="37" spans="1:8" ht="12.75" customHeight="1" thickBot="1"/>
    <row r="38" spans="1:8" ht="12.75" customHeight="1">
      <c r="A38" s="238" t="s">
        <v>35</v>
      </c>
      <c r="B38" s="337" t="s">
        <v>515</v>
      </c>
      <c r="C38" s="402" t="s">
        <v>510</v>
      </c>
      <c r="D38" s="402"/>
      <c r="E38" s="402"/>
      <c r="F38" s="402"/>
      <c r="G38" s="403"/>
    </row>
    <row r="39" spans="1:8" ht="12.75" customHeight="1">
      <c r="A39" s="238"/>
      <c r="B39" s="240"/>
      <c r="C39" s="404" t="s">
        <v>511</v>
      </c>
      <c r="D39" s="404"/>
      <c r="E39" s="487" t="s">
        <v>512</v>
      </c>
      <c r="F39" s="488" t="s">
        <v>513</v>
      </c>
      <c r="G39" s="405"/>
    </row>
    <row r="40" spans="1:8" ht="12.75" customHeight="1">
      <c r="A40" s="238"/>
      <c r="B40" s="379"/>
      <c r="C40" s="380" t="s">
        <v>799</v>
      </c>
      <c r="D40" s="112" t="s">
        <v>800</v>
      </c>
      <c r="E40" s="113"/>
      <c r="F40" s="114"/>
      <c r="G40" s="406"/>
    </row>
    <row r="41" spans="1:8" ht="12.75" customHeight="1">
      <c r="A41" s="239"/>
      <c r="B41" s="240" t="s">
        <v>801</v>
      </c>
      <c r="C41" s="776">
        <f>+'Položky sumář'!H17+'Položky sumář'!H32+'Položky sumář'!H40+'Položky sumář'!H79</f>
        <v>848495.07426085998</v>
      </c>
      <c r="D41" s="776">
        <f>+C41*1.15</f>
        <v>975769.33539998892</v>
      </c>
      <c r="E41" s="113"/>
      <c r="F41" s="112"/>
      <c r="G41" s="241"/>
    </row>
    <row r="42" spans="1:8" ht="12.75" customHeight="1">
      <c r="A42" s="239"/>
      <c r="B42" s="240" t="s">
        <v>802</v>
      </c>
      <c r="C42" s="776">
        <f>+'Položky sumář'!H17+'Položky sumář'!H32+'Položky sumář'!H40+'Položky sumář'!H49+'Položky sumář'!H60+'Položky sumář'!H70+'Položky sumář'!H79+'Položky sumář'!H89+0.5*'Položky sumář'!H133+'Položky sumář'!H140</f>
        <v>1488932.0522608601</v>
      </c>
      <c r="D42" s="776">
        <f>+C42*1.15</f>
        <v>1712271.860099989</v>
      </c>
      <c r="E42" s="112"/>
      <c r="F42" s="484"/>
      <c r="G42" s="241"/>
    </row>
    <row r="43" spans="1:8" ht="12.75" customHeight="1">
      <c r="A43" s="239"/>
      <c r="B43" s="240" t="s">
        <v>803</v>
      </c>
      <c r="C43" s="776">
        <f>+Zaklad5</f>
        <v>2467297.2084167437</v>
      </c>
      <c r="D43" s="776">
        <f>+C43*1.15</f>
        <v>2837391.7896792549</v>
      </c>
      <c r="E43" s="112"/>
      <c r="F43" s="484"/>
      <c r="G43" s="241"/>
    </row>
    <row r="44" spans="1:8" ht="12.75" customHeight="1">
      <c r="A44" s="239"/>
      <c r="B44" s="229"/>
      <c r="C44" s="113"/>
      <c r="D44" s="380"/>
      <c r="E44" s="112"/>
      <c r="F44" s="484"/>
      <c r="G44" s="241"/>
    </row>
    <row r="45" spans="1:8" ht="12.75" customHeight="1" thickBot="1">
      <c r="A45" s="239"/>
      <c r="B45" s="242" t="s">
        <v>940</v>
      </c>
      <c r="C45" s="234"/>
      <c r="D45" s="244"/>
      <c r="E45" s="243"/>
      <c r="F45" s="485"/>
      <c r="G45" s="486"/>
    </row>
    <row r="46" spans="1:8" ht="12.75" customHeight="1">
      <c r="A46" s="43"/>
      <c r="D46" s="100"/>
      <c r="E46" s="20"/>
    </row>
    <row r="47" spans="1:8" ht="17.25" customHeight="1">
      <c r="A47" s="713" t="s">
        <v>708</v>
      </c>
      <c r="D47" s="100"/>
    </row>
    <row r="48" spans="1:8" ht="15.6">
      <c r="A48" s="830" t="s">
        <v>845</v>
      </c>
      <c r="D48" s="100"/>
    </row>
    <row r="49" spans="1:6">
      <c r="D49" s="100"/>
    </row>
    <row r="50" spans="1:6" ht="15.6">
      <c r="A50" s="714"/>
      <c r="E50" s="20"/>
      <c r="F50" s="100"/>
    </row>
    <row r="51" spans="1:6" ht="15.6">
      <c r="A51" s="713" t="s">
        <v>710</v>
      </c>
      <c r="D51" s="100"/>
    </row>
    <row r="52" spans="1:6" ht="15.6">
      <c r="A52" s="830" t="s">
        <v>846</v>
      </c>
    </row>
    <row r="54" spans="1:6" ht="15.6">
      <c r="A54" s="701"/>
    </row>
    <row r="55" spans="1:6" ht="15.6">
      <c r="A55" s="713" t="s">
        <v>714</v>
      </c>
    </row>
    <row r="56" spans="1:6" ht="15.6">
      <c r="A56" s="830" t="s">
        <v>715</v>
      </c>
    </row>
  </sheetData>
  <mergeCells count="2">
    <mergeCell ref="C13:D13"/>
    <mergeCell ref="E15:G15"/>
  </mergeCells>
  <hyperlinks>
    <hyperlink ref="A6" r:id="rId1"/>
  </hyperlinks>
  <pageMargins left="0.41" right="0.39" top="0.61" bottom="0.61" header="0.51181102362204722" footer="0.51181102362204722"/>
  <pageSetup paperSize="9" scale="87" orientation="portrait" horizontalDpi="300" verticalDpi="300" r:id="rId2"/>
  <headerFooter alignWithMargins="0">
    <oddFooter>Strana &amp;P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0"/>
  </sheetPr>
  <dimension ref="A1:BE86"/>
  <sheetViews>
    <sheetView topLeftCell="A7" workbookViewId="0">
      <selection activeCell="N28" sqref="N28"/>
    </sheetView>
  </sheetViews>
  <sheetFormatPr defaultRowHeight="13.2"/>
  <cols>
    <col min="1" max="1" width="5.88671875" customWidth="1"/>
    <col min="2" max="2" width="6.109375" customWidth="1"/>
    <col min="3" max="3" width="11.44140625" customWidth="1"/>
    <col min="4" max="4" width="15.88671875" customWidth="1"/>
    <col min="5" max="5" width="11.33203125" customWidth="1"/>
    <col min="6" max="6" width="10.88671875" customWidth="1"/>
    <col min="7" max="7" width="11" customWidth="1"/>
    <col min="8" max="8" width="11.109375" customWidth="1"/>
    <col min="9" max="9" width="10.6640625" customWidth="1"/>
  </cols>
  <sheetData>
    <row r="1" spans="1:9">
      <c r="A1" s="941" t="s">
        <v>4</v>
      </c>
      <c r="B1" s="941"/>
      <c r="C1" s="865" t="str">
        <f>'Krycí list'!D11</f>
        <v>2x2+ KK</v>
      </c>
      <c r="D1" s="82"/>
      <c r="E1" s="88"/>
      <c r="F1" s="82"/>
      <c r="G1" s="93" t="s">
        <v>36</v>
      </c>
      <c r="H1" s="319" t="str">
        <f>Investor!D2</f>
        <v>dle podkladů</v>
      </c>
      <c r="I1" s="400"/>
    </row>
    <row r="2" spans="1:9">
      <c r="A2" s="941"/>
      <c r="B2" s="941"/>
      <c r="C2" s="407"/>
      <c r="D2" s="82"/>
      <c r="E2" s="319"/>
      <c r="F2" s="400"/>
      <c r="G2" s="942"/>
      <c r="H2" s="942"/>
      <c r="I2" s="942"/>
    </row>
    <row r="3" spans="1:9" ht="19.5" customHeight="1">
      <c r="A3" s="48"/>
      <c r="B3" s="1"/>
      <c r="C3" s="1"/>
      <c r="D3" s="1" t="s">
        <v>928</v>
      </c>
      <c r="E3" s="49"/>
      <c r="F3" s="1"/>
      <c r="G3" s="1"/>
      <c r="H3" s="1"/>
      <c r="I3" s="1"/>
    </row>
    <row r="4" spans="1:9" ht="13.8" thickBot="1"/>
    <row r="5" spans="1:9" s="6" customFormat="1" ht="13.8" thickBot="1">
      <c r="A5" s="50"/>
      <c r="B5" s="51" t="s">
        <v>37</v>
      </c>
      <c r="C5" s="51"/>
      <c r="D5" s="52"/>
      <c r="E5" s="257" t="s">
        <v>38</v>
      </c>
      <c r="F5" s="255" t="s">
        <v>153</v>
      </c>
      <c r="G5" s="53" t="s">
        <v>39</v>
      </c>
      <c r="H5" s="53" t="s">
        <v>40</v>
      </c>
      <c r="I5" s="54" t="s">
        <v>19</v>
      </c>
    </row>
    <row r="6" spans="1:9" s="6" customFormat="1" ht="13.8" thickBot="1">
      <c r="A6" s="375" t="s">
        <v>140</v>
      </c>
      <c r="B6" s="376" t="s">
        <v>141</v>
      </c>
      <c r="C6" s="376"/>
      <c r="D6" s="377"/>
      <c r="E6" s="378"/>
      <c r="F6" s="833">
        <f>'Položky sumář (2)'!H10</f>
        <v>202500</v>
      </c>
      <c r="G6" s="832"/>
      <c r="H6" s="373"/>
      <c r="I6" s="374"/>
    </row>
    <row r="7" spans="1:9" s="6" customFormat="1">
      <c r="A7" s="89" t="s">
        <v>117</v>
      </c>
      <c r="B7" s="55" t="s">
        <v>118</v>
      </c>
      <c r="D7" s="56"/>
      <c r="E7" s="258">
        <f>'Položky sumář (2)'!H17</f>
        <v>374550.91673599998</v>
      </c>
      <c r="F7" s="90">
        <v>0</v>
      </c>
      <c r="G7" s="91">
        <v>0</v>
      </c>
      <c r="H7" s="91">
        <v>0</v>
      </c>
      <c r="I7" s="831">
        <v>0</v>
      </c>
    </row>
    <row r="8" spans="1:9" s="6" customFormat="1">
      <c r="A8" s="89" t="s">
        <v>119</v>
      </c>
      <c r="B8" s="55" t="s">
        <v>796</v>
      </c>
      <c r="D8" s="56"/>
      <c r="E8" s="259">
        <f>'Položky sumář (2)'!H32+'Položky sumář (2)'!H40+'Položky sumář (2)'!H201</f>
        <v>828594.15007039998</v>
      </c>
      <c r="F8" s="90">
        <v>0</v>
      </c>
      <c r="G8" s="91">
        <v>0</v>
      </c>
      <c r="H8" s="91">
        <v>0</v>
      </c>
      <c r="I8" s="831">
        <v>0</v>
      </c>
    </row>
    <row r="9" spans="1:9" s="6" customFormat="1">
      <c r="A9" s="89" t="s">
        <v>121</v>
      </c>
      <c r="B9" s="55" t="s">
        <v>122</v>
      </c>
      <c r="D9" s="56"/>
      <c r="E9" s="259">
        <f>'Položky sumář (2)'!H49</f>
        <v>234836.94399999999</v>
      </c>
      <c r="F9" s="90">
        <v>0</v>
      </c>
      <c r="G9" s="91">
        <v>0</v>
      </c>
      <c r="H9" s="91">
        <v>0</v>
      </c>
      <c r="I9" s="831">
        <v>0</v>
      </c>
    </row>
    <row r="10" spans="1:9" s="6" customFormat="1">
      <c r="A10" s="89" t="s">
        <v>123</v>
      </c>
      <c r="B10" s="55" t="s">
        <v>148</v>
      </c>
      <c r="D10" s="56"/>
      <c r="E10" s="259">
        <f>+'Položky sumář'!H60</f>
        <v>239513.87400000001</v>
      </c>
      <c r="F10" s="90">
        <v>0</v>
      </c>
      <c r="G10" s="91">
        <v>0</v>
      </c>
      <c r="H10" s="91">
        <v>0</v>
      </c>
      <c r="I10" s="831">
        <v>0</v>
      </c>
    </row>
    <row r="11" spans="1:9" s="6" customFormat="1">
      <c r="A11" s="89" t="s">
        <v>124</v>
      </c>
      <c r="B11" s="55" t="s">
        <v>147</v>
      </c>
      <c r="D11" s="56"/>
      <c r="E11" s="259">
        <f>'Položky sumář (2)'!H70</f>
        <v>191765.60560000001</v>
      </c>
      <c r="F11" s="90">
        <v>0</v>
      </c>
      <c r="G11" s="91">
        <v>0</v>
      </c>
      <c r="H11" s="91">
        <v>0</v>
      </c>
      <c r="I11" s="831">
        <v>0</v>
      </c>
    </row>
    <row r="12" spans="1:9" s="6" customFormat="1">
      <c r="A12" s="94" t="s">
        <v>128</v>
      </c>
      <c r="B12" s="55" t="s">
        <v>136</v>
      </c>
      <c r="C12" s="55"/>
      <c r="D12" s="56"/>
      <c r="E12" s="259">
        <f>+'Položky sumář'!H75</f>
        <v>23502.080000000002</v>
      </c>
      <c r="F12" s="90">
        <v>0</v>
      </c>
      <c r="G12" s="91">
        <v>0</v>
      </c>
      <c r="H12" s="91">
        <v>0</v>
      </c>
      <c r="I12" s="831">
        <v>0</v>
      </c>
    </row>
    <row r="13" spans="1:9" s="6" customFormat="1" ht="13.8" thickBot="1">
      <c r="A13" s="94" t="s">
        <v>130</v>
      </c>
      <c r="B13" s="55" t="s">
        <v>108</v>
      </c>
      <c r="C13" s="55"/>
      <c r="D13" s="56"/>
      <c r="E13" s="260">
        <f>+'Položky sumář'!H79</f>
        <v>30249.077762460001</v>
      </c>
      <c r="F13" s="90">
        <v>0</v>
      </c>
      <c r="G13" s="91">
        <v>0</v>
      </c>
      <c r="H13" s="91">
        <v>0</v>
      </c>
      <c r="I13" s="831">
        <v>0</v>
      </c>
    </row>
    <row r="14" spans="1:9" s="6" customFormat="1">
      <c r="A14" s="94" t="s">
        <v>151</v>
      </c>
      <c r="B14" s="55" t="s">
        <v>125</v>
      </c>
      <c r="C14" s="55"/>
      <c r="D14" s="56"/>
      <c r="E14" s="256">
        <v>0</v>
      </c>
      <c r="F14" s="290">
        <f>+'Položky sumář'!H89</f>
        <v>22459.8</v>
      </c>
      <c r="G14" s="90">
        <v>0</v>
      </c>
      <c r="H14" s="91">
        <v>0</v>
      </c>
      <c r="I14" s="831">
        <v>0</v>
      </c>
    </row>
    <row r="15" spans="1:9" s="6" customFormat="1">
      <c r="A15" s="94" t="s">
        <v>132</v>
      </c>
      <c r="B15" s="55" t="s">
        <v>126</v>
      </c>
      <c r="C15" s="55"/>
      <c r="D15" s="56"/>
      <c r="E15" s="256">
        <v>0</v>
      </c>
      <c r="F15" s="291">
        <f>+'Položky sumář'!H98</f>
        <v>48412</v>
      </c>
      <c r="G15" s="90">
        <v>0</v>
      </c>
      <c r="H15" s="91">
        <v>0</v>
      </c>
      <c r="I15" s="831">
        <v>0</v>
      </c>
    </row>
    <row r="16" spans="1:9" s="6" customFormat="1">
      <c r="A16" s="94" t="s">
        <v>152</v>
      </c>
      <c r="B16" s="55" t="s">
        <v>129</v>
      </c>
      <c r="C16" s="55"/>
      <c r="D16" s="56"/>
      <c r="E16" s="256">
        <v>0</v>
      </c>
      <c r="F16" s="291">
        <f>+'Položky sumář'!H112</f>
        <v>33349.4</v>
      </c>
      <c r="G16" s="90">
        <v>0</v>
      </c>
      <c r="H16" s="91">
        <v>0</v>
      </c>
      <c r="I16" s="831">
        <v>0</v>
      </c>
    </row>
    <row r="17" spans="1:57" s="6" customFormat="1">
      <c r="A17" s="94" t="s">
        <v>17</v>
      </c>
      <c r="B17" s="55" t="s">
        <v>131</v>
      </c>
      <c r="C17" s="55"/>
      <c r="D17" s="56"/>
      <c r="E17" s="256">
        <v>0</v>
      </c>
      <c r="F17" s="291">
        <f>+'Položky sumář'!H128</f>
        <v>62819.380000000005</v>
      </c>
      <c r="G17" s="90">
        <v>0</v>
      </c>
      <c r="H17" s="91">
        <v>0</v>
      </c>
      <c r="I17" s="831">
        <v>0</v>
      </c>
    </row>
    <row r="18" spans="1:57" s="6" customFormat="1">
      <c r="A18" s="94" t="s">
        <v>135</v>
      </c>
      <c r="B18" s="55" t="s">
        <v>133</v>
      </c>
      <c r="C18" s="55"/>
      <c r="D18" s="56"/>
      <c r="E18" s="256">
        <v>0</v>
      </c>
      <c r="F18" s="291">
        <f>+'Položky sumář'!H133</f>
        <v>81672</v>
      </c>
      <c r="G18" s="90">
        <v>0</v>
      </c>
      <c r="H18" s="91">
        <v>0</v>
      </c>
      <c r="I18" s="831">
        <v>0</v>
      </c>
    </row>
    <row r="19" spans="1:57" s="6" customFormat="1">
      <c r="A19" s="94" t="s">
        <v>137</v>
      </c>
      <c r="B19" s="55" t="s">
        <v>134</v>
      </c>
      <c r="C19" s="55"/>
      <c r="D19" s="56"/>
      <c r="E19" s="256">
        <v>0</v>
      </c>
      <c r="F19" s="291">
        <f>+'Položky sumář'!H143</f>
        <v>37600</v>
      </c>
      <c r="G19" s="90">
        <v>0</v>
      </c>
      <c r="H19" s="91">
        <v>0</v>
      </c>
      <c r="I19" s="831">
        <v>0</v>
      </c>
    </row>
    <row r="20" spans="1:57" s="6" customFormat="1" ht="13.8" thickBot="1">
      <c r="A20" s="94" t="s">
        <v>15</v>
      </c>
      <c r="B20" s="55" t="s">
        <v>844</v>
      </c>
      <c r="C20" s="55"/>
      <c r="D20" s="56"/>
      <c r="E20" s="256"/>
      <c r="F20" s="292">
        <f>'Položky sumář'!H150</f>
        <v>0</v>
      </c>
      <c r="G20" s="90"/>
      <c r="H20" s="91"/>
      <c r="I20" s="831"/>
    </row>
    <row r="21" spans="1:57" s="63" customFormat="1" ht="13.8" thickBot="1">
      <c r="A21" s="57"/>
      <c r="B21" s="58" t="s">
        <v>41</v>
      </c>
      <c r="C21" s="58"/>
      <c r="D21" s="59"/>
      <c r="E21" s="60">
        <f>E7+E8+E9+E10+E11+E12+E13</f>
        <v>1923012.6481688602</v>
      </c>
      <c r="F21" s="849">
        <f>SUM(F7:F20)+F6</f>
        <v>488812.58</v>
      </c>
      <c r="G21" s="61">
        <f>SUM(G7:G19)</f>
        <v>0</v>
      </c>
      <c r="H21" s="61">
        <f>SUM(H7:H19)</f>
        <v>0</v>
      </c>
      <c r="I21" s="62">
        <f>SUM(I7:I19)</f>
        <v>0</v>
      </c>
    </row>
    <row r="22" spans="1:57">
      <c r="A22" s="6"/>
      <c r="B22" s="6"/>
      <c r="C22" s="6"/>
      <c r="D22" s="6"/>
      <c r="E22" s="890"/>
      <c r="F22" s="890"/>
      <c r="G22" s="6"/>
      <c r="H22" s="6"/>
      <c r="I22" s="6"/>
    </row>
    <row r="23" spans="1:57" ht="19.5" customHeight="1">
      <c r="A23" s="1" t="s">
        <v>42</v>
      </c>
      <c r="B23" s="1"/>
      <c r="C23" s="1"/>
      <c r="D23" s="1"/>
      <c r="E23" s="1"/>
      <c r="F23" s="1"/>
      <c r="G23" s="64"/>
      <c r="H23" s="1"/>
      <c r="I23" s="1"/>
      <c r="BA23" s="20"/>
      <c r="BB23" s="20"/>
      <c r="BC23" s="20"/>
      <c r="BD23" s="20"/>
      <c r="BE23" s="20"/>
    </row>
    <row r="24" spans="1:57" ht="13.8" thickBot="1"/>
    <row r="25" spans="1:57">
      <c r="A25" s="347" t="s">
        <v>43</v>
      </c>
      <c r="B25" s="348"/>
      <c r="C25" s="348"/>
      <c r="D25" s="349"/>
      <c r="E25" s="350" t="s">
        <v>44</v>
      </c>
      <c r="F25" s="351" t="s">
        <v>45</v>
      </c>
      <c r="G25" s="352" t="s">
        <v>46</v>
      </c>
      <c r="H25" s="353"/>
      <c r="I25" s="354" t="s">
        <v>44</v>
      </c>
    </row>
    <row r="26" spans="1:57">
      <c r="A26" s="263" t="s">
        <v>157</v>
      </c>
      <c r="B26" s="264"/>
      <c r="C26" s="264"/>
      <c r="D26" s="265"/>
      <c r="E26" s="266">
        <v>0</v>
      </c>
      <c r="F26" s="267">
        <v>1.6</v>
      </c>
      <c r="G26" s="268">
        <f>CHOOSE(BA26+1,HSV+PSV,HSV+PSV+Mont,HSV+PSV+Dodavka+Mont,HSV,PSV,Mont,Dodavka,Mont+Dodavka,0)</f>
        <v>2411825.2281688601</v>
      </c>
      <c r="H26" s="355"/>
      <c r="I26" s="356">
        <f t="shared" ref="I26:I33" si="0">E26+F26*G26/100</f>
        <v>38589.203650701762</v>
      </c>
    </row>
    <row r="27" spans="1:57">
      <c r="A27" s="263" t="s">
        <v>110</v>
      </c>
      <c r="B27" s="264"/>
      <c r="C27" s="264"/>
      <c r="D27" s="265"/>
      <c r="E27" s="266">
        <v>0</v>
      </c>
      <c r="F27" s="267">
        <v>0</v>
      </c>
      <c r="G27" s="268">
        <f t="shared" ref="G27:G34" si="1">CHOOSE(BA27+1,HSV+PSV,HSV+PSV+Mont,HSV+PSV+Dodavka+Mont,HSV,PSV,Mont,Dodavka,Mont+Dodavka,0)</f>
        <v>2411825.2281688601</v>
      </c>
      <c r="H27" s="355"/>
      <c r="I27" s="356">
        <v>0</v>
      </c>
    </row>
    <row r="28" spans="1:57">
      <c r="A28" s="263" t="s">
        <v>111</v>
      </c>
      <c r="B28" s="264"/>
      <c r="C28" s="264"/>
      <c r="D28" s="265"/>
      <c r="E28" s="266">
        <v>0</v>
      </c>
      <c r="F28" s="267">
        <v>0</v>
      </c>
      <c r="G28" s="268">
        <f t="shared" si="1"/>
        <v>2411825.2281688601</v>
      </c>
      <c r="H28" s="355"/>
      <c r="I28" s="356">
        <f t="shared" si="0"/>
        <v>0</v>
      </c>
    </row>
    <row r="29" spans="1:57">
      <c r="A29" s="263" t="s">
        <v>112</v>
      </c>
      <c r="B29" s="264"/>
      <c r="C29" s="264"/>
      <c r="D29" s="265"/>
      <c r="E29" s="266">
        <v>0</v>
      </c>
      <c r="F29" s="267">
        <v>0</v>
      </c>
      <c r="G29" s="268">
        <f t="shared" si="1"/>
        <v>2411825.2281688601</v>
      </c>
      <c r="H29" s="355"/>
      <c r="I29" s="356">
        <f t="shared" si="0"/>
        <v>0</v>
      </c>
    </row>
    <row r="30" spans="1:57">
      <c r="A30" s="263" t="s">
        <v>113</v>
      </c>
      <c r="B30" s="264"/>
      <c r="C30" s="264"/>
      <c r="D30" s="265"/>
      <c r="E30" s="266">
        <v>0</v>
      </c>
      <c r="F30" s="267">
        <v>0</v>
      </c>
      <c r="G30" s="268">
        <f t="shared" si="1"/>
        <v>2411825.2281688601</v>
      </c>
      <c r="H30" s="355"/>
      <c r="I30" s="356">
        <f t="shared" si="0"/>
        <v>0</v>
      </c>
    </row>
    <row r="31" spans="1:57">
      <c r="A31" s="263" t="s">
        <v>114</v>
      </c>
      <c r="B31" s="264"/>
      <c r="C31" s="264"/>
      <c r="D31" s="265"/>
      <c r="E31" s="266">
        <v>0</v>
      </c>
      <c r="F31" s="267">
        <v>0</v>
      </c>
      <c r="G31" s="268">
        <f t="shared" si="1"/>
        <v>2411825.2281688601</v>
      </c>
      <c r="H31" s="355"/>
      <c r="I31" s="356">
        <f t="shared" si="0"/>
        <v>0</v>
      </c>
    </row>
    <row r="32" spans="1:57">
      <c r="A32" s="263" t="s">
        <v>115</v>
      </c>
      <c r="B32" s="264"/>
      <c r="C32" s="264"/>
      <c r="D32" s="265"/>
      <c r="E32" s="266">
        <v>0</v>
      </c>
      <c r="F32" s="267">
        <v>0</v>
      </c>
      <c r="G32" s="268">
        <f t="shared" si="1"/>
        <v>2411825.2281688601</v>
      </c>
      <c r="H32" s="355"/>
      <c r="I32" s="356">
        <f t="shared" si="0"/>
        <v>0</v>
      </c>
    </row>
    <row r="33" spans="1:10">
      <c r="A33" s="263" t="s">
        <v>722</v>
      </c>
      <c r="B33" s="264"/>
      <c r="C33" s="264"/>
      <c r="D33" s="265"/>
      <c r="E33" s="266">
        <v>0</v>
      </c>
      <c r="F33" s="267">
        <v>0.7</v>
      </c>
      <c r="G33" s="268">
        <f t="shared" si="1"/>
        <v>2411825.2281688601</v>
      </c>
      <c r="H33" s="355"/>
      <c r="I33" s="356">
        <f t="shared" si="0"/>
        <v>16882.776597182019</v>
      </c>
    </row>
    <row r="34" spans="1:10">
      <c r="A34" s="263" t="s">
        <v>116</v>
      </c>
      <c r="B34" s="264"/>
      <c r="C34" s="264"/>
      <c r="D34" s="265"/>
      <c r="E34" s="266">
        <v>0</v>
      </c>
      <c r="F34" s="267">
        <v>0</v>
      </c>
      <c r="G34" s="268">
        <f t="shared" si="1"/>
        <v>2411825.2281688601</v>
      </c>
      <c r="H34" s="355"/>
      <c r="I34" s="356">
        <v>0</v>
      </c>
    </row>
    <row r="35" spans="1:10" ht="13.8" thickBot="1">
      <c r="A35" s="269"/>
      <c r="B35" s="270" t="s">
        <v>47</v>
      </c>
      <c r="C35" s="271"/>
      <c r="D35" s="272"/>
      <c r="E35" s="273"/>
      <c r="F35" s="274"/>
      <c r="G35" s="274"/>
      <c r="H35" s="939">
        <f>SUM(I26:I34)</f>
        <v>55471.980247883781</v>
      </c>
      <c r="I35" s="940"/>
    </row>
    <row r="37" spans="1:10">
      <c r="B37" s="63"/>
      <c r="F37" s="65"/>
      <c r="G37" s="66"/>
      <c r="H37" s="66"/>
      <c r="I37" s="67"/>
    </row>
    <row r="38" spans="1:10" ht="17.399999999999999">
      <c r="A38" s="6"/>
      <c r="B38" s="6"/>
      <c r="C38" s="6"/>
      <c r="D38" s="247" t="s">
        <v>459</v>
      </c>
      <c r="E38" s="247"/>
      <c r="F38" s="248"/>
      <c r="G38" s="249"/>
      <c r="H38" s="249"/>
      <c r="I38" s="250"/>
    </row>
    <row r="39" spans="1:10" ht="13.8" thickBot="1">
      <c r="A39" s="6"/>
      <c r="B39" s="6"/>
      <c r="C39" s="6"/>
      <c r="D39" s="6"/>
      <c r="E39" s="6"/>
      <c r="F39" s="248"/>
      <c r="G39" s="249"/>
      <c r="H39" s="249"/>
      <c r="I39" s="250"/>
    </row>
    <row r="40" spans="1:10" ht="13.8" thickBot="1">
      <c r="A40" s="225" t="s">
        <v>467</v>
      </c>
      <c r="B40" s="226"/>
      <c r="C40" s="226"/>
      <c r="D40" s="226"/>
      <c r="E40" s="251"/>
      <c r="F40" s="253"/>
      <c r="G40" s="252" t="s">
        <v>461</v>
      </c>
      <c r="H40" s="227"/>
      <c r="I40" s="228"/>
    </row>
    <row r="41" spans="1:10" ht="13.8" thickBot="1">
      <c r="A41" s="229" t="s">
        <v>468</v>
      </c>
      <c r="B41" s="113"/>
      <c r="C41" s="113"/>
      <c r="D41" s="113"/>
      <c r="E41" s="16"/>
      <c r="F41" s="286"/>
      <c r="G41" s="232" t="s">
        <v>460</v>
      </c>
      <c r="H41" s="224"/>
      <c r="I41" s="230"/>
    </row>
    <row r="42" spans="1:10" ht="13.8" thickBot="1">
      <c r="A42" s="229"/>
      <c r="B42" s="113"/>
      <c r="C42" s="113"/>
      <c r="D42" s="113"/>
      <c r="E42" s="113"/>
      <c r="F42" s="254"/>
      <c r="G42" s="224"/>
      <c r="H42" s="224"/>
      <c r="I42" s="230"/>
    </row>
    <row r="43" spans="1:10" ht="13.8" thickBot="1">
      <c r="A43" s="229" t="s">
        <v>816</v>
      </c>
      <c r="B43" s="113"/>
      <c r="C43" s="113"/>
      <c r="D43" s="113"/>
      <c r="E43" s="16"/>
      <c r="F43" s="231"/>
      <c r="G43" s="318"/>
      <c r="H43" s="224"/>
      <c r="I43" s="230"/>
      <c r="J43" s="6"/>
    </row>
    <row r="44" spans="1:10">
      <c r="A44" s="341" t="s">
        <v>485</v>
      </c>
      <c r="B44" s="210"/>
      <c r="C44" s="210"/>
      <c r="D44" s="210"/>
      <c r="E44" s="342"/>
      <c r="F44" s="343"/>
      <c r="G44" s="344"/>
      <c r="H44" s="345"/>
      <c r="I44" s="346"/>
    </row>
    <row r="45" spans="1:10">
      <c r="A45" s="229" t="s">
        <v>775</v>
      </c>
      <c r="B45" s="113"/>
      <c r="C45" s="113"/>
      <c r="D45" s="113"/>
      <c r="E45" s="113"/>
      <c r="F45" s="774"/>
      <c r="G45" s="224"/>
      <c r="H45" s="224"/>
      <c r="I45" s="230"/>
    </row>
    <row r="46" spans="1:10" ht="13.8" thickBot="1">
      <c r="A46" s="233" t="s">
        <v>462</v>
      </c>
      <c r="B46" s="234"/>
      <c r="C46" s="234"/>
      <c r="D46" s="234"/>
      <c r="E46" s="234"/>
      <c r="F46" s="246"/>
      <c r="G46" s="235"/>
      <c r="H46" s="235"/>
      <c r="I46" s="236"/>
    </row>
    <row r="47" spans="1:10">
      <c r="F47" s="65"/>
      <c r="G47" s="66"/>
      <c r="H47" s="66"/>
      <c r="I47" s="67"/>
    </row>
    <row r="48" spans="1:10">
      <c r="F48" s="65"/>
      <c r="G48" s="66"/>
      <c r="H48" s="66"/>
      <c r="I48" s="67"/>
    </row>
    <row r="49" spans="6:9">
      <c r="F49" s="65"/>
      <c r="G49" s="66"/>
      <c r="H49" s="66"/>
      <c r="I49" s="67"/>
    </row>
    <row r="50" spans="6:9">
      <c r="F50" s="65"/>
      <c r="G50" s="66"/>
      <c r="H50" s="66"/>
      <c r="I50" s="67"/>
    </row>
    <row r="51" spans="6:9">
      <c r="F51" s="65"/>
      <c r="G51" s="66"/>
      <c r="H51" s="66"/>
      <c r="I51" s="67"/>
    </row>
    <row r="52" spans="6:9">
      <c r="F52" s="65"/>
      <c r="G52" s="66"/>
      <c r="H52" s="66"/>
      <c r="I52" s="67"/>
    </row>
    <row r="53" spans="6:9">
      <c r="F53" s="65"/>
      <c r="G53" s="66"/>
      <c r="H53" s="66"/>
      <c r="I53" s="67"/>
    </row>
    <row r="54" spans="6:9">
      <c r="F54" s="65"/>
      <c r="G54" s="66"/>
      <c r="H54" s="66"/>
      <c r="I54" s="67"/>
    </row>
    <row r="55" spans="6:9">
      <c r="F55" s="65"/>
      <c r="G55" s="66"/>
      <c r="H55" s="66"/>
      <c r="I55" s="67"/>
    </row>
    <row r="56" spans="6:9">
      <c r="F56" s="65"/>
      <c r="G56" s="66"/>
      <c r="H56" s="66"/>
      <c r="I56" s="67"/>
    </row>
    <row r="57" spans="6:9">
      <c r="F57" s="65"/>
      <c r="G57" s="66"/>
      <c r="H57" s="66"/>
      <c r="I57" s="67"/>
    </row>
    <row r="58" spans="6:9">
      <c r="F58" s="65"/>
      <c r="G58" s="66"/>
      <c r="H58" s="66"/>
      <c r="I58" s="67"/>
    </row>
    <row r="59" spans="6:9">
      <c r="F59" s="65"/>
      <c r="G59" s="66"/>
      <c r="H59" s="66"/>
      <c r="I59" s="67"/>
    </row>
    <row r="60" spans="6:9">
      <c r="F60" s="65"/>
      <c r="G60" s="66"/>
      <c r="H60" s="66"/>
      <c r="I60" s="67"/>
    </row>
    <row r="61" spans="6:9">
      <c r="F61" s="65"/>
      <c r="G61" s="66"/>
      <c r="H61" s="66"/>
      <c r="I61" s="67"/>
    </row>
    <row r="62" spans="6:9">
      <c r="F62" s="65"/>
      <c r="G62" s="66"/>
      <c r="H62" s="66"/>
      <c r="I62" s="67"/>
    </row>
    <row r="63" spans="6:9">
      <c r="F63" s="65"/>
      <c r="G63" s="66"/>
      <c r="H63" s="66"/>
      <c r="I63" s="67"/>
    </row>
    <row r="64" spans="6:9">
      <c r="F64" s="65"/>
      <c r="G64" s="66"/>
      <c r="H64" s="66"/>
      <c r="I64" s="67"/>
    </row>
    <row r="65" spans="6:9">
      <c r="F65" s="65"/>
      <c r="G65" s="66"/>
      <c r="H65" s="66"/>
      <c r="I65" s="67"/>
    </row>
    <row r="66" spans="6:9">
      <c r="F66" s="65"/>
      <c r="G66" s="66"/>
      <c r="H66" s="66"/>
      <c r="I66" s="67"/>
    </row>
    <row r="67" spans="6:9">
      <c r="F67" s="65"/>
      <c r="G67" s="66"/>
      <c r="H67" s="66"/>
      <c r="I67" s="67"/>
    </row>
    <row r="68" spans="6:9">
      <c r="F68" s="65"/>
      <c r="G68" s="66"/>
      <c r="H68" s="66"/>
      <c r="I68" s="67"/>
    </row>
    <row r="69" spans="6:9">
      <c r="F69" s="65"/>
      <c r="G69" s="66"/>
      <c r="H69" s="66"/>
      <c r="I69" s="67"/>
    </row>
    <row r="70" spans="6:9">
      <c r="F70" s="65"/>
      <c r="G70" s="66"/>
      <c r="H70" s="66"/>
      <c r="I70" s="67"/>
    </row>
    <row r="71" spans="6:9">
      <c r="F71" s="65"/>
      <c r="G71" s="66"/>
      <c r="H71" s="66"/>
      <c r="I71" s="67"/>
    </row>
    <row r="72" spans="6:9">
      <c r="F72" s="65"/>
      <c r="G72" s="66"/>
      <c r="H72" s="66"/>
      <c r="I72" s="67"/>
    </row>
    <row r="73" spans="6:9">
      <c r="F73" s="65"/>
      <c r="G73" s="66"/>
      <c r="H73" s="66"/>
      <c r="I73" s="67"/>
    </row>
    <row r="74" spans="6:9">
      <c r="F74" s="65"/>
      <c r="G74" s="66"/>
      <c r="H74" s="66"/>
      <c r="I74" s="67"/>
    </row>
    <row r="75" spans="6:9">
      <c r="F75" s="65"/>
      <c r="G75" s="66"/>
      <c r="H75" s="66"/>
      <c r="I75" s="67"/>
    </row>
    <row r="76" spans="6:9">
      <c r="F76" s="65"/>
      <c r="G76" s="66"/>
      <c r="H76" s="66"/>
      <c r="I76" s="67"/>
    </row>
    <row r="77" spans="6:9">
      <c r="F77" s="65"/>
      <c r="G77" s="66"/>
      <c r="H77" s="66"/>
      <c r="I77" s="67"/>
    </row>
    <row r="78" spans="6:9">
      <c r="F78" s="65"/>
      <c r="G78" s="66"/>
      <c r="H78" s="66"/>
      <c r="I78" s="67"/>
    </row>
    <row r="79" spans="6:9">
      <c r="F79" s="65"/>
      <c r="G79" s="66"/>
      <c r="H79" s="66"/>
      <c r="I79" s="67"/>
    </row>
    <row r="80" spans="6:9">
      <c r="F80" s="65"/>
      <c r="G80" s="66"/>
      <c r="H80" s="66"/>
      <c r="I80" s="67"/>
    </row>
    <row r="81" spans="6:9">
      <c r="F81" s="65"/>
      <c r="G81" s="66"/>
      <c r="H81" s="66"/>
      <c r="I81" s="67"/>
    </row>
    <row r="82" spans="6:9">
      <c r="F82" s="65"/>
      <c r="G82" s="66"/>
      <c r="H82" s="66"/>
      <c r="I82" s="67"/>
    </row>
    <row r="83" spans="6:9">
      <c r="F83" s="65"/>
      <c r="G83" s="66"/>
      <c r="H83" s="66"/>
      <c r="I83" s="67"/>
    </row>
    <row r="84" spans="6:9">
      <c r="F84" s="65"/>
      <c r="G84" s="66"/>
      <c r="H84" s="66"/>
      <c r="I84" s="67"/>
    </row>
    <row r="85" spans="6:9">
      <c r="F85" s="65"/>
      <c r="G85" s="66"/>
      <c r="H85" s="66"/>
      <c r="I85" s="67"/>
    </row>
    <row r="86" spans="6:9">
      <c r="F86" s="65"/>
      <c r="G86" s="66"/>
      <c r="H86" s="66"/>
      <c r="I86" s="67"/>
    </row>
  </sheetData>
  <mergeCells count="4">
    <mergeCell ref="A1:B1"/>
    <mergeCell ref="A2:B2"/>
    <mergeCell ref="G2:I2"/>
    <mergeCell ref="H35:I35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BF216"/>
  <sheetViews>
    <sheetView topLeftCell="B1" workbookViewId="0">
      <selection activeCell="M29" sqref="M29"/>
    </sheetView>
  </sheetViews>
  <sheetFormatPr defaultColWidth="9.109375" defaultRowHeight="13.2"/>
  <cols>
    <col min="1" max="1" width="5.44140625" style="68" customWidth="1"/>
    <col min="2" max="2" width="13.44140625" style="68" customWidth="1"/>
    <col min="3" max="3" width="0.88671875" style="68" hidden="1" customWidth="1"/>
    <col min="4" max="4" width="41.6640625" style="68" customWidth="1"/>
    <col min="5" max="5" width="4.6640625" style="68" customWidth="1"/>
    <col min="6" max="6" width="7.6640625" style="77" customWidth="1"/>
    <col min="7" max="7" width="8.6640625" style="68" customWidth="1"/>
    <col min="8" max="8" width="13" style="750" customWidth="1"/>
    <col min="9" max="10" width="11.6640625" style="68" bestFit="1" customWidth="1"/>
    <col min="11" max="12" width="9.109375" style="68"/>
    <col min="13" max="13" width="75.44140625" style="68" customWidth="1"/>
    <col min="14" max="16384" width="9.109375" style="68"/>
  </cols>
  <sheetData>
    <row r="1" spans="1:58" ht="15.6">
      <c r="A1" s="943" t="s">
        <v>929</v>
      </c>
      <c r="B1" s="943"/>
      <c r="C1" s="943"/>
      <c r="D1" s="943"/>
      <c r="E1" s="943"/>
      <c r="F1" s="943"/>
      <c r="G1" s="943"/>
      <c r="H1" s="943"/>
    </row>
    <row r="2" spans="1:58" ht="17.25" customHeight="1" thickBot="1">
      <c r="B2" s="69"/>
      <c r="C2" s="69"/>
      <c r="D2" s="70"/>
      <c r="E2" s="70"/>
      <c r="F2" s="71"/>
      <c r="G2" s="70"/>
      <c r="H2" s="70"/>
    </row>
    <row r="3" spans="1:58" ht="14.4" thickTop="1" thickBot="1">
      <c r="A3" s="944" t="s">
        <v>4</v>
      </c>
      <c r="B3" s="945"/>
      <c r="C3" s="109"/>
      <c r="D3" s="44" t="str">
        <f>zákazník!B16</f>
        <v>2x2+ KK</v>
      </c>
      <c r="E3" s="45"/>
      <c r="F3" s="72" t="s">
        <v>48</v>
      </c>
      <c r="G3" s="73" t="str">
        <f>Investor!D2</f>
        <v>dle podkladů</v>
      </c>
      <c r="H3" s="741"/>
    </row>
    <row r="4" spans="1:58" ht="13.8" thickBot="1">
      <c r="A4" s="946" t="s">
        <v>1</v>
      </c>
      <c r="B4" s="947"/>
      <c r="C4" s="110"/>
      <c r="D4" s="46" t="s">
        <v>526</v>
      </c>
      <c r="E4" s="47"/>
      <c r="F4" s="948" t="str">
        <f>+Investor!C7</f>
        <v>Petrák</v>
      </c>
      <c r="G4" s="949"/>
      <c r="H4" s="950"/>
    </row>
    <row r="5" spans="1:58" ht="9" customHeight="1" thickTop="1" thickBot="1">
      <c r="A5" s="75"/>
      <c r="B5" s="76"/>
      <c r="C5" s="76"/>
      <c r="D5" s="319"/>
      <c r="E5" s="399"/>
      <c r="H5" s="742"/>
    </row>
    <row r="6" spans="1:58" ht="15" customHeight="1" thickBot="1">
      <c r="A6" s="164" t="s">
        <v>49</v>
      </c>
      <c r="B6" s="165" t="s">
        <v>50</v>
      </c>
      <c r="C6" s="165"/>
      <c r="D6" s="165" t="s">
        <v>51</v>
      </c>
      <c r="E6" s="165" t="s">
        <v>52</v>
      </c>
      <c r="F6" s="166" t="s">
        <v>53</v>
      </c>
      <c r="G6" s="165" t="s">
        <v>54</v>
      </c>
      <c r="H6" s="743" t="s">
        <v>55</v>
      </c>
    </row>
    <row r="7" spans="1:58" ht="15" customHeight="1">
      <c r="A7" s="171"/>
      <c r="B7" s="170"/>
      <c r="C7" s="170"/>
      <c r="D7" s="170"/>
      <c r="E7" s="170"/>
      <c r="F7" s="172"/>
      <c r="G7" s="170"/>
      <c r="H7" s="744"/>
    </row>
    <row r="8" spans="1:58" ht="15" customHeight="1">
      <c r="A8" s="760" t="s">
        <v>56</v>
      </c>
      <c r="B8" s="761" t="s">
        <v>140</v>
      </c>
      <c r="C8" s="761"/>
      <c r="D8" s="762" t="s">
        <v>141</v>
      </c>
      <c r="E8" s="763"/>
      <c r="F8" s="764"/>
      <c r="G8" s="764"/>
      <c r="H8" s="765"/>
    </row>
    <row r="9" spans="1:58" ht="15" customHeight="1" thickBot="1">
      <c r="A9" s="724">
        <v>1</v>
      </c>
      <c r="B9" s="725"/>
      <c r="C9" s="725"/>
      <c r="D9" s="726" t="s">
        <v>849</v>
      </c>
      <c r="E9" s="727" t="s">
        <v>60</v>
      </c>
      <c r="F9" s="728"/>
      <c r="G9" s="728"/>
      <c r="H9" s="745">
        <v>202500</v>
      </c>
      <c r="I9" s="79"/>
      <c r="J9" s="79"/>
      <c r="P9" s="80"/>
    </row>
    <row r="10" spans="1:58" ht="15" customHeight="1" thickBot="1">
      <c r="A10" s="734"/>
      <c r="B10" s="735" t="s">
        <v>545</v>
      </c>
      <c r="C10" s="735"/>
      <c r="D10" s="736" t="str">
        <f>CONCATENATE(B8," ",D8)</f>
        <v>A Základová deska</v>
      </c>
      <c r="E10" s="737"/>
      <c r="F10" s="738"/>
      <c r="G10" s="738"/>
      <c r="H10" s="739">
        <v>202500</v>
      </c>
      <c r="L10" s="93"/>
      <c r="P10" s="80"/>
    </row>
    <row r="11" spans="1:58" ht="15" customHeight="1">
      <c r="A11" s="163"/>
      <c r="B11" s="180"/>
      <c r="C11" s="180"/>
      <c r="D11" s="179"/>
      <c r="E11" s="163"/>
      <c r="F11" s="178"/>
      <c r="G11" s="178"/>
      <c r="H11" s="181"/>
      <c r="P11" s="80"/>
      <c r="BB11" s="81"/>
      <c r="BC11" s="81"/>
      <c r="BD11" s="81"/>
      <c r="BE11" s="81"/>
      <c r="BF11" s="81"/>
    </row>
    <row r="12" spans="1:58" ht="15" customHeight="1">
      <c r="A12" s="760" t="s">
        <v>56</v>
      </c>
      <c r="B12" s="761" t="s">
        <v>117</v>
      </c>
      <c r="C12" s="761"/>
      <c r="D12" s="762" t="s">
        <v>118</v>
      </c>
      <c r="E12" s="763"/>
      <c r="F12" s="764"/>
      <c r="G12" s="764"/>
      <c r="H12" s="765"/>
      <c r="P12" s="80"/>
      <c r="BB12" s="81"/>
      <c r="BC12" s="81"/>
      <c r="BD12" s="81"/>
      <c r="BE12" s="81"/>
      <c r="BF12" s="81"/>
    </row>
    <row r="13" spans="1:58" ht="15" customHeight="1">
      <c r="A13" s="194">
        <v>2</v>
      </c>
      <c r="B13" s="195"/>
      <c r="C13" s="195"/>
      <c r="D13" s="237" t="s">
        <v>761</v>
      </c>
      <c r="E13" s="197" t="s">
        <v>63</v>
      </c>
      <c r="F13" s="199"/>
      <c r="G13" s="198"/>
      <c r="H13" s="746">
        <v>363255</v>
      </c>
      <c r="I13" s="79"/>
      <c r="J13" s="79"/>
      <c r="P13" s="80"/>
    </row>
    <row r="14" spans="1:58" ht="15" customHeight="1">
      <c r="A14" s="194">
        <f>A13+1</f>
        <v>3</v>
      </c>
      <c r="B14" s="195"/>
      <c r="C14" s="195"/>
      <c r="D14" s="237" t="s">
        <v>760</v>
      </c>
      <c r="E14" s="197" t="s">
        <v>59</v>
      </c>
      <c r="F14" s="198"/>
      <c r="G14" s="199"/>
      <c r="H14" s="746">
        <v>1831.9167360000001</v>
      </c>
      <c r="P14" s="80"/>
    </row>
    <row r="15" spans="1:58" ht="15" customHeight="1">
      <c r="A15" s="194">
        <f>A14+1</f>
        <v>4</v>
      </c>
      <c r="B15" s="195"/>
      <c r="C15" s="195"/>
      <c r="D15" s="237" t="s">
        <v>861</v>
      </c>
      <c r="E15" s="197" t="s">
        <v>60</v>
      </c>
      <c r="F15" s="199"/>
      <c r="G15" s="199"/>
      <c r="H15" s="746">
        <v>9464</v>
      </c>
      <c r="P15" s="80"/>
    </row>
    <row r="16" spans="1:58" ht="15" customHeight="1" thickBot="1">
      <c r="A16" s="729">
        <f>A15+1</f>
        <v>5</v>
      </c>
      <c r="B16" s="730"/>
      <c r="C16" s="730"/>
      <c r="D16" s="731" t="s">
        <v>860</v>
      </c>
      <c r="E16" s="732" t="s">
        <v>59</v>
      </c>
      <c r="F16" s="733"/>
      <c r="G16" s="733"/>
      <c r="H16" s="747">
        <v>0</v>
      </c>
      <c r="P16" s="80"/>
    </row>
    <row r="17" spans="1:58" ht="15" customHeight="1" thickBot="1">
      <c r="A17" s="734"/>
      <c r="B17" s="735" t="s">
        <v>545</v>
      </c>
      <c r="C17" s="735"/>
      <c r="D17" s="736" t="str">
        <f>CONCATENATE(B12," ",D12)</f>
        <v>B Kostra</v>
      </c>
      <c r="E17" s="737"/>
      <c r="F17" s="738"/>
      <c r="G17" s="738"/>
      <c r="H17" s="739">
        <v>374550.91673599998</v>
      </c>
      <c r="L17" s="93"/>
      <c r="P17" s="80"/>
    </row>
    <row r="18" spans="1:58" ht="15" customHeight="1">
      <c r="A18" s="163"/>
      <c r="B18" s="180"/>
      <c r="C18" s="180"/>
      <c r="D18" s="179"/>
      <c r="E18" s="163"/>
      <c r="F18" s="178"/>
      <c r="G18" s="178"/>
      <c r="H18" s="168"/>
      <c r="P18" s="80"/>
      <c r="BB18" s="81"/>
      <c r="BC18" s="81"/>
      <c r="BD18" s="81"/>
      <c r="BE18" s="81"/>
      <c r="BF18" s="81"/>
    </row>
    <row r="19" spans="1:58" ht="15" customHeight="1">
      <c r="A19" s="760" t="s">
        <v>56</v>
      </c>
      <c r="B19" s="761" t="s">
        <v>755</v>
      </c>
      <c r="C19" s="761"/>
      <c r="D19" s="762" t="s">
        <v>120</v>
      </c>
      <c r="E19" s="763"/>
      <c r="F19" s="764"/>
      <c r="G19" s="764"/>
      <c r="H19" s="765"/>
      <c r="P19" s="80"/>
      <c r="BB19" s="81"/>
      <c r="BC19" s="81"/>
      <c r="BD19" s="81"/>
      <c r="BE19" s="81"/>
      <c r="BF19" s="81"/>
    </row>
    <row r="20" spans="1:58" ht="15" customHeight="1">
      <c r="A20" s="863">
        <f>+A16+1</f>
        <v>6</v>
      </c>
      <c r="B20" s="721" t="s">
        <v>749</v>
      </c>
      <c r="C20" s="195"/>
      <c r="D20" s="237" t="s">
        <v>933</v>
      </c>
      <c r="E20" s="197" t="s">
        <v>60</v>
      </c>
      <c r="F20" s="199"/>
      <c r="G20" s="199"/>
      <c r="H20" s="746">
        <v>109733.61840000001</v>
      </c>
      <c r="I20" s="79"/>
      <c r="J20" s="79"/>
      <c r="P20" s="80"/>
    </row>
    <row r="21" spans="1:58" ht="15" customHeight="1">
      <c r="A21" s="863">
        <f t="shared" ref="A21:A31" si="0">A20+1</f>
        <v>7</v>
      </c>
      <c r="B21" s="721" t="s">
        <v>749</v>
      </c>
      <c r="C21" s="195"/>
      <c r="D21" s="237" t="s">
        <v>758</v>
      </c>
      <c r="E21" s="197" t="s">
        <v>60</v>
      </c>
      <c r="F21" s="198"/>
      <c r="G21" s="199"/>
      <c r="H21" s="746">
        <v>0</v>
      </c>
      <c r="P21" s="80"/>
    </row>
    <row r="22" spans="1:58" ht="22.5" customHeight="1">
      <c r="A22" s="863">
        <f t="shared" si="0"/>
        <v>8</v>
      </c>
      <c r="B22" s="721" t="s">
        <v>750</v>
      </c>
      <c r="C22" s="195"/>
      <c r="D22" s="237" t="s">
        <v>856</v>
      </c>
      <c r="E22" s="197" t="s">
        <v>60</v>
      </c>
      <c r="F22" s="198"/>
      <c r="G22" s="199"/>
      <c r="H22" s="746">
        <v>32396.460095999995</v>
      </c>
      <c r="P22" s="80"/>
    </row>
    <row r="23" spans="1:58" ht="25.5" customHeight="1">
      <c r="A23" s="863">
        <f t="shared" si="0"/>
        <v>9</v>
      </c>
      <c r="B23" s="834"/>
      <c r="C23" s="195"/>
      <c r="D23" s="237" t="s">
        <v>848</v>
      </c>
      <c r="E23" s="197" t="s">
        <v>75</v>
      </c>
      <c r="F23" s="199"/>
      <c r="G23" s="199"/>
      <c r="H23" s="746">
        <v>57546.8</v>
      </c>
      <c r="P23" s="80"/>
    </row>
    <row r="24" spans="1:58" ht="15" customHeight="1">
      <c r="A24" s="863">
        <f t="shared" si="0"/>
        <v>10</v>
      </c>
      <c r="B24" s="721"/>
      <c r="C24" s="195"/>
      <c r="D24" s="237" t="s">
        <v>762</v>
      </c>
      <c r="E24" s="197" t="s">
        <v>75</v>
      </c>
      <c r="F24" s="199"/>
      <c r="G24" s="199"/>
      <c r="H24" s="746">
        <v>3957.9</v>
      </c>
      <c r="P24" s="80"/>
    </row>
    <row r="25" spans="1:58" ht="15" customHeight="1">
      <c r="A25" s="863">
        <f t="shared" si="0"/>
        <v>11</v>
      </c>
      <c r="B25" s="721"/>
      <c r="C25" s="195"/>
      <c r="D25" s="237" t="s">
        <v>763</v>
      </c>
      <c r="E25" s="197" t="s">
        <v>75</v>
      </c>
      <c r="F25" s="199"/>
      <c r="G25" s="199"/>
      <c r="H25" s="746">
        <v>4044.8</v>
      </c>
      <c r="P25" s="80"/>
    </row>
    <row r="26" spans="1:58" ht="15" customHeight="1">
      <c r="A26" s="863"/>
      <c r="B26" s="721"/>
      <c r="C26" s="195"/>
      <c r="D26" s="237" t="s">
        <v>842</v>
      </c>
      <c r="E26" s="197" t="s">
        <v>60</v>
      </c>
      <c r="F26" s="199"/>
      <c r="G26" s="199"/>
      <c r="H26" s="746"/>
      <c r="P26" s="80"/>
    </row>
    <row r="27" spans="1:58" ht="15" customHeight="1">
      <c r="A27" s="863"/>
      <c r="B27" s="721"/>
      <c r="C27" s="195"/>
      <c r="D27" s="237" t="s">
        <v>841</v>
      </c>
      <c r="E27" s="197" t="s">
        <v>60</v>
      </c>
      <c r="F27" s="199"/>
      <c r="G27" s="199"/>
      <c r="H27" s="746"/>
      <c r="P27" s="80"/>
    </row>
    <row r="28" spans="1:58" ht="15" customHeight="1">
      <c r="A28" s="863"/>
      <c r="B28" s="721"/>
      <c r="C28" s="195"/>
      <c r="D28" s="237" t="s">
        <v>851</v>
      </c>
      <c r="E28" s="197" t="s">
        <v>60</v>
      </c>
      <c r="F28" s="199"/>
      <c r="G28" s="199"/>
      <c r="H28" s="746"/>
      <c r="P28" s="80"/>
    </row>
    <row r="29" spans="1:58" ht="15" customHeight="1">
      <c r="A29" s="863">
        <f>A25+1</f>
        <v>12</v>
      </c>
      <c r="B29" s="721" t="s">
        <v>394</v>
      </c>
      <c r="C29" s="195"/>
      <c r="D29" s="237" t="s">
        <v>870</v>
      </c>
      <c r="E29" s="197" t="s">
        <v>60</v>
      </c>
      <c r="F29" s="199"/>
      <c r="G29" s="199"/>
      <c r="H29" s="746">
        <v>177931.6</v>
      </c>
      <c r="P29" s="80"/>
    </row>
    <row r="30" spans="1:58" ht="15" customHeight="1">
      <c r="A30" s="863">
        <f t="shared" si="0"/>
        <v>13</v>
      </c>
      <c r="B30" s="721" t="s">
        <v>837</v>
      </c>
      <c r="C30" s="195"/>
      <c r="D30" s="237" t="s">
        <v>870</v>
      </c>
      <c r="E30" s="197" t="s">
        <v>60</v>
      </c>
      <c r="F30" s="199"/>
      <c r="G30" s="199"/>
      <c r="H30" s="746">
        <v>0</v>
      </c>
      <c r="P30" s="80"/>
    </row>
    <row r="31" spans="1:58" ht="30" customHeight="1" thickBot="1">
      <c r="A31" s="863">
        <f t="shared" si="0"/>
        <v>14</v>
      </c>
      <c r="B31" s="721" t="s">
        <v>751</v>
      </c>
      <c r="C31" s="195"/>
      <c r="D31" s="740" t="s">
        <v>926</v>
      </c>
      <c r="E31" s="197" t="s">
        <v>60</v>
      </c>
      <c r="F31" s="199"/>
      <c r="G31" s="199"/>
      <c r="H31" s="746">
        <v>164782.97157439997</v>
      </c>
      <c r="P31" s="80"/>
    </row>
    <row r="32" spans="1:58" ht="15" customHeight="1" thickBot="1">
      <c r="A32" s="734"/>
      <c r="B32" s="735" t="s">
        <v>545</v>
      </c>
      <c r="C32" s="735"/>
      <c r="D32" s="736" t="str">
        <f>CONCATENATE(B19," ",D19)</f>
        <v>C1 Kostra - doplňkové konstrukce</v>
      </c>
      <c r="E32" s="737"/>
      <c r="F32" s="738"/>
      <c r="G32" s="738"/>
      <c r="H32" s="739">
        <v>550394.15007039998</v>
      </c>
      <c r="P32" s="80"/>
    </row>
    <row r="33" spans="1:58" ht="15" customHeight="1">
      <c r="A33" s="163"/>
      <c r="B33" s="180"/>
      <c r="C33" s="180"/>
      <c r="D33" s="179"/>
      <c r="E33" s="163"/>
      <c r="F33" s="178"/>
      <c r="G33" s="178"/>
      <c r="H33" s="168"/>
      <c r="P33" s="80"/>
    </row>
    <row r="34" spans="1:58" ht="15" customHeight="1">
      <c r="A34" s="760" t="s">
        <v>56</v>
      </c>
      <c r="B34" s="761" t="s">
        <v>756</v>
      </c>
      <c r="C34" s="761"/>
      <c r="D34" s="762" t="s">
        <v>725</v>
      </c>
      <c r="E34" s="763"/>
      <c r="F34" s="764"/>
      <c r="G34" s="764"/>
      <c r="H34" s="765"/>
      <c r="P34" s="80"/>
    </row>
    <row r="35" spans="1:58" ht="15" customHeight="1">
      <c r="A35" s="724">
        <f>+A31+1</f>
        <v>15</v>
      </c>
      <c r="B35" s="725" t="s">
        <v>579</v>
      </c>
      <c r="C35" s="725"/>
      <c r="D35" s="726" t="s">
        <v>906</v>
      </c>
      <c r="E35" s="727" t="s">
        <v>60</v>
      </c>
      <c r="F35" s="728"/>
      <c r="G35" s="728"/>
      <c r="H35" s="745">
        <v>226200</v>
      </c>
      <c r="P35" s="80"/>
    </row>
    <row r="36" spans="1:58" ht="15" customHeight="1">
      <c r="A36" s="724"/>
      <c r="B36" s="725"/>
      <c r="C36" s="725"/>
      <c r="D36" s="726" t="s">
        <v>847</v>
      </c>
      <c r="E36" s="727"/>
      <c r="F36" s="728"/>
      <c r="G36" s="728"/>
      <c r="H36" s="745"/>
      <c r="P36" s="80"/>
    </row>
    <row r="37" spans="1:58" ht="15" customHeight="1">
      <c r="A37" s="724">
        <f>+A35+1</f>
        <v>16</v>
      </c>
      <c r="B37" s="725" t="s">
        <v>726</v>
      </c>
      <c r="C37" s="725"/>
      <c r="D37" s="726" t="s">
        <v>764</v>
      </c>
      <c r="E37" s="727" t="s">
        <v>65</v>
      </c>
      <c r="F37" s="728"/>
      <c r="G37" s="728"/>
      <c r="H37" s="745">
        <v>52000</v>
      </c>
      <c r="P37" s="80"/>
    </row>
    <row r="38" spans="1:58" ht="15" customHeight="1">
      <c r="A38" s="724">
        <f>+A37+1</f>
        <v>17</v>
      </c>
      <c r="B38" s="725" t="s">
        <v>727</v>
      </c>
      <c r="C38" s="725"/>
      <c r="D38" s="726" t="s">
        <v>871</v>
      </c>
      <c r="E38" s="727" t="s">
        <v>65</v>
      </c>
      <c r="F38" s="728"/>
      <c r="G38" s="728"/>
      <c r="H38" s="745">
        <v>0</v>
      </c>
      <c r="P38" s="80"/>
    </row>
    <row r="39" spans="1:58" ht="15" customHeight="1" thickBot="1">
      <c r="A39" s="724">
        <f>+A38+1</f>
        <v>18</v>
      </c>
      <c r="B39" s="725" t="s">
        <v>728</v>
      </c>
      <c r="C39" s="725"/>
      <c r="D39" s="726" t="s">
        <v>765</v>
      </c>
      <c r="E39" s="727" t="s">
        <v>65</v>
      </c>
      <c r="F39" s="728"/>
      <c r="G39" s="728"/>
      <c r="H39" s="745">
        <v>0</v>
      </c>
      <c r="P39" s="80"/>
    </row>
    <row r="40" spans="1:58" ht="15" customHeight="1" thickBot="1">
      <c r="A40" s="734"/>
      <c r="B40" s="735" t="s">
        <v>545</v>
      </c>
      <c r="C40" s="735"/>
      <c r="D40" s="736" t="s">
        <v>754</v>
      </c>
      <c r="E40" s="737"/>
      <c r="F40" s="738"/>
      <c r="G40" s="738"/>
      <c r="H40" s="739">
        <v>278200</v>
      </c>
      <c r="P40" s="80"/>
    </row>
    <row r="41" spans="1:58" ht="15" customHeight="1">
      <c r="A41" s="163"/>
      <c r="B41" s="180"/>
      <c r="C41" s="180"/>
      <c r="D41" s="179"/>
      <c r="E41" s="163"/>
      <c r="F41" s="178"/>
      <c r="G41" s="178"/>
      <c r="H41" s="168"/>
      <c r="P41" s="80"/>
    </row>
    <row r="42" spans="1:58" ht="15" customHeight="1">
      <c r="A42" s="760" t="s">
        <v>56</v>
      </c>
      <c r="B42" s="761" t="s">
        <v>121</v>
      </c>
      <c r="C42" s="761"/>
      <c r="D42" s="762" t="s">
        <v>122</v>
      </c>
      <c r="E42" s="763"/>
      <c r="F42" s="764"/>
      <c r="G42" s="764"/>
      <c r="H42" s="765"/>
      <c r="P42" s="80"/>
      <c r="BB42" s="81"/>
      <c r="BC42" s="81"/>
      <c r="BD42" s="81"/>
      <c r="BE42" s="81"/>
      <c r="BF42" s="81"/>
    </row>
    <row r="43" spans="1:58" ht="15" customHeight="1">
      <c r="A43" s="863">
        <f>+A39+1</f>
        <v>19</v>
      </c>
      <c r="B43" s="721" t="s">
        <v>766</v>
      </c>
      <c r="C43" s="720"/>
      <c r="D43" s="237" t="s">
        <v>934</v>
      </c>
      <c r="E43" s="197" t="s">
        <v>60</v>
      </c>
      <c r="F43" s="199"/>
      <c r="G43" s="199"/>
      <c r="H43" s="746">
        <v>133276.704</v>
      </c>
      <c r="P43" s="80"/>
      <c r="BB43" s="81"/>
      <c r="BC43" s="81"/>
      <c r="BD43" s="81"/>
      <c r="BE43" s="81"/>
      <c r="BF43" s="81"/>
    </row>
    <row r="44" spans="1:58" ht="15" customHeight="1">
      <c r="A44" s="863">
        <f>+A43+1</f>
        <v>20</v>
      </c>
      <c r="B44" s="721" t="s">
        <v>780</v>
      </c>
      <c r="C44" s="720"/>
      <c r="D44" s="237" t="s">
        <v>938</v>
      </c>
      <c r="E44" s="197" t="s">
        <v>60</v>
      </c>
      <c r="F44" s="199"/>
      <c r="G44" s="199"/>
      <c r="H44" s="746"/>
      <c r="P44" s="80"/>
      <c r="BB44" s="81"/>
      <c r="BC44" s="81"/>
      <c r="BD44" s="81"/>
      <c r="BE44" s="81"/>
      <c r="BF44" s="81"/>
    </row>
    <row r="45" spans="1:58" ht="15" customHeight="1">
      <c r="A45" s="863">
        <f>+A44+1</f>
        <v>21</v>
      </c>
      <c r="B45" s="721" t="s">
        <v>781</v>
      </c>
      <c r="C45" s="720"/>
      <c r="D45" s="237" t="s">
        <v>783</v>
      </c>
      <c r="E45" s="197" t="s">
        <v>60</v>
      </c>
      <c r="F45" s="199"/>
      <c r="G45" s="199"/>
      <c r="H45" s="746">
        <v>36909.599999999999</v>
      </c>
      <c r="P45" s="80"/>
      <c r="BB45" s="81"/>
      <c r="BC45" s="81"/>
      <c r="BD45" s="81"/>
      <c r="BE45" s="81"/>
      <c r="BF45" s="81"/>
    </row>
    <row r="46" spans="1:58" ht="15" customHeight="1">
      <c r="A46" s="863">
        <f>+A45+1</f>
        <v>22</v>
      </c>
      <c r="B46" s="721" t="s">
        <v>782</v>
      </c>
      <c r="C46" s="720"/>
      <c r="D46" s="237" t="s">
        <v>939</v>
      </c>
      <c r="E46" s="197" t="s">
        <v>60</v>
      </c>
      <c r="F46" s="199"/>
      <c r="G46" s="199"/>
      <c r="H46" s="746">
        <v>19680</v>
      </c>
      <c r="P46" s="80"/>
      <c r="BB46" s="81"/>
      <c r="BC46" s="81"/>
      <c r="BD46" s="81"/>
      <c r="BE46" s="81"/>
      <c r="BF46" s="81"/>
    </row>
    <row r="47" spans="1:58" ht="15" customHeight="1">
      <c r="A47" s="863">
        <f>+A46+1</f>
        <v>23</v>
      </c>
      <c r="B47" s="721" t="s">
        <v>784</v>
      </c>
      <c r="C47" s="720"/>
      <c r="D47" s="237" t="s">
        <v>813</v>
      </c>
      <c r="E47" s="197" t="s">
        <v>60</v>
      </c>
      <c r="F47" s="199"/>
      <c r="G47" s="199"/>
      <c r="H47" s="746">
        <v>15958.800000000001</v>
      </c>
      <c r="I47" s="79"/>
      <c r="J47" s="79"/>
      <c r="P47" s="80"/>
    </row>
    <row r="48" spans="1:58" ht="15" customHeight="1" thickBot="1">
      <c r="A48" s="863">
        <f>+A47+1</f>
        <v>24</v>
      </c>
      <c r="B48" s="721" t="s">
        <v>785</v>
      </c>
      <c r="C48" s="720"/>
      <c r="D48" s="237" t="s">
        <v>786</v>
      </c>
      <c r="E48" s="197" t="s">
        <v>60</v>
      </c>
      <c r="F48" s="199"/>
      <c r="G48" s="199"/>
      <c r="H48" s="746">
        <v>29011.84</v>
      </c>
      <c r="I48" s="79"/>
      <c r="J48" s="79"/>
      <c r="P48" s="80"/>
    </row>
    <row r="49" spans="1:58" ht="15" customHeight="1" thickBot="1">
      <c r="A49" s="734"/>
      <c r="B49" s="735" t="s">
        <v>57</v>
      </c>
      <c r="C49" s="735"/>
      <c r="D49" s="736" t="str">
        <f>CONCATENATE(B42," ",D42)</f>
        <v>D Tepelné izolace</v>
      </c>
      <c r="E49" s="737"/>
      <c r="F49" s="738"/>
      <c r="G49" s="738"/>
      <c r="H49" s="739">
        <v>234836.94399999999</v>
      </c>
      <c r="I49" s="358"/>
      <c r="P49" s="80"/>
    </row>
    <row r="50" spans="1:58" ht="15" customHeight="1">
      <c r="A50" s="163"/>
      <c r="B50" s="180"/>
      <c r="C50" s="180"/>
      <c r="D50" s="179"/>
      <c r="E50" s="163"/>
      <c r="F50" s="178"/>
      <c r="G50" s="178"/>
      <c r="H50" s="168"/>
      <c r="P50" s="80"/>
    </row>
    <row r="51" spans="1:58" ht="15" customHeight="1">
      <c r="A51" s="760" t="s">
        <v>56</v>
      </c>
      <c r="B51" s="761" t="s">
        <v>123</v>
      </c>
      <c r="C51" s="761"/>
      <c r="D51" s="762" t="s">
        <v>148</v>
      </c>
      <c r="E51" s="763"/>
      <c r="F51" s="764"/>
      <c r="G51" s="764"/>
      <c r="H51" s="765"/>
      <c r="P51" s="80"/>
      <c r="BB51" s="81"/>
      <c r="BC51" s="81"/>
      <c r="BD51" s="81"/>
      <c r="BE51" s="81"/>
      <c r="BF51" s="81"/>
    </row>
    <row r="52" spans="1:58" ht="30" customHeight="1">
      <c r="A52" s="863">
        <f>+A48+1</f>
        <v>25</v>
      </c>
      <c r="B52" s="721" t="s">
        <v>729</v>
      </c>
      <c r="C52" s="195"/>
      <c r="D52" s="740" t="s">
        <v>787</v>
      </c>
      <c r="E52" s="197" t="s">
        <v>60</v>
      </c>
      <c r="F52" s="199"/>
      <c r="G52" s="199"/>
      <c r="H52" s="746">
        <v>22888.799999999999</v>
      </c>
      <c r="P52" s="80"/>
      <c r="BB52" s="81"/>
      <c r="BC52" s="81"/>
      <c r="BD52" s="81"/>
      <c r="BE52" s="81"/>
      <c r="BF52" s="81"/>
    </row>
    <row r="53" spans="1:58" ht="30" customHeight="1">
      <c r="A53" s="863">
        <f>A52+1</f>
        <v>26</v>
      </c>
      <c r="B53" s="721" t="s">
        <v>730</v>
      </c>
      <c r="C53" s="195"/>
      <c r="D53" s="740" t="s">
        <v>788</v>
      </c>
      <c r="E53" s="197" t="s">
        <v>60</v>
      </c>
      <c r="F53" s="199"/>
      <c r="G53" s="199"/>
      <c r="H53" s="746">
        <v>111619.20000000001</v>
      </c>
      <c r="I53" s="79"/>
      <c r="J53" s="79"/>
      <c r="P53" s="80"/>
    </row>
    <row r="54" spans="1:58" ht="30" customHeight="1">
      <c r="A54" s="863">
        <f t="shared" ref="A54:A59" si="1">A53+1</f>
        <v>27</v>
      </c>
      <c r="B54" s="721" t="s">
        <v>732</v>
      </c>
      <c r="C54" s="195"/>
      <c r="D54" s="740" t="s">
        <v>789</v>
      </c>
      <c r="E54" s="197" t="s">
        <v>60</v>
      </c>
      <c r="F54" s="199"/>
      <c r="G54" s="199"/>
      <c r="H54" s="746">
        <v>80824.723199999993</v>
      </c>
      <c r="I54" s="79"/>
      <c r="J54" s="79"/>
      <c r="P54" s="80"/>
    </row>
    <row r="55" spans="1:58" ht="30" customHeight="1">
      <c r="A55" s="863">
        <f t="shared" si="1"/>
        <v>28</v>
      </c>
      <c r="B55" s="721" t="s">
        <v>731</v>
      </c>
      <c r="C55" s="195"/>
      <c r="D55" s="740" t="s">
        <v>733</v>
      </c>
      <c r="E55" s="197" t="s">
        <v>60</v>
      </c>
      <c r="F55" s="199"/>
      <c r="G55" s="199"/>
      <c r="H55" s="746">
        <v>90343.44</v>
      </c>
      <c r="P55" s="80"/>
    </row>
    <row r="56" spans="1:58" ht="30" customHeight="1">
      <c r="A56" s="864">
        <f t="shared" si="1"/>
        <v>29</v>
      </c>
      <c r="B56" s="722" t="s">
        <v>734</v>
      </c>
      <c r="C56" s="716"/>
      <c r="D56" s="753" t="s">
        <v>787</v>
      </c>
      <c r="E56" s="717" t="s">
        <v>60</v>
      </c>
      <c r="F56" s="718"/>
      <c r="G56" s="718"/>
      <c r="H56" s="748">
        <v>0</v>
      </c>
      <c r="P56" s="80"/>
    </row>
    <row r="57" spans="1:58" ht="30" customHeight="1">
      <c r="A57" s="863">
        <f t="shared" si="1"/>
        <v>30</v>
      </c>
      <c r="B57" s="721" t="s">
        <v>735</v>
      </c>
      <c r="C57" s="195"/>
      <c r="D57" s="740" t="s">
        <v>788</v>
      </c>
      <c r="E57" s="197" t="s">
        <v>60</v>
      </c>
      <c r="F57" s="199"/>
      <c r="G57" s="199"/>
      <c r="H57" s="746">
        <v>0</v>
      </c>
      <c r="P57" s="80"/>
    </row>
    <row r="58" spans="1:58" ht="30" customHeight="1">
      <c r="A58" s="863">
        <f t="shared" si="1"/>
        <v>31</v>
      </c>
      <c r="B58" s="721" t="s">
        <v>736</v>
      </c>
      <c r="C58" s="195"/>
      <c r="D58" s="740" t="s">
        <v>139</v>
      </c>
      <c r="E58" s="197" t="s">
        <v>60</v>
      </c>
      <c r="F58" s="199"/>
      <c r="G58" s="199"/>
      <c r="H58" s="746">
        <v>0</v>
      </c>
      <c r="P58" s="80"/>
    </row>
    <row r="59" spans="1:58" ht="30" customHeight="1" thickBot="1">
      <c r="A59" s="863">
        <f t="shared" si="1"/>
        <v>32</v>
      </c>
      <c r="B59" s="721" t="s">
        <v>737</v>
      </c>
      <c r="C59" s="195"/>
      <c r="D59" s="740" t="s">
        <v>432</v>
      </c>
      <c r="E59" s="197" t="s">
        <v>60</v>
      </c>
      <c r="F59" s="199"/>
      <c r="G59" s="199"/>
      <c r="H59" s="746">
        <v>11400</v>
      </c>
      <c r="P59" s="80"/>
    </row>
    <row r="60" spans="1:58" ht="13.8" thickBot="1">
      <c r="A60" s="734"/>
      <c r="B60" s="735" t="s">
        <v>57</v>
      </c>
      <c r="C60" s="735"/>
      <c r="D60" s="736" t="str">
        <f>CONCATENATE(B51," ",D51)</f>
        <v>F Sádrokartonové konstrukce</v>
      </c>
      <c r="E60" s="737"/>
      <c r="F60" s="738"/>
      <c r="G60" s="738"/>
      <c r="H60" s="739">
        <v>317076.16320000001</v>
      </c>
      <c r="P60" s="80"/>
    </row>
    <row r="61" spans="1:58">
      <c r="A61" s="163"/>
      <c r="B61" s="180"/>
      <c r="C61" s="180"/>
      <c r="D61" s="179"/>
      <c r="E61" s="163"/>
      <c r="F61" s="178"/>
      <c r="G61" s="178"/>
      <c r="H61" s="168"/>
      <c r="P61" s="80"/>
    </row>
    <row r="62" spans="1:58">
      <c r="A62" s="760" t="s">
        <v>56</v>
      </c>
      <c r="B62" s="761" t="s">
        <v>124</v>
      </c>
      <c r="C62" s="761"/>
      <c r="D62" s="762" t="s">
        <v>147</v>
      </c>
      <c r="E62" s="763"/>
      <c r="F62" s="764"/>
      <c r="G62" s="764"/>
      <c r="H62" s="765"/>
      <c r="P62" s="80"/>
      <c r="BB62" s="81"/>
      <c r="BC62" s="81"/>
      <c r="BD62" s="81"/>
      <c r="BE62" s="81"/>
      <c r="BF62" s="81"/>
    </row>
    <row r="63" spans="1:58">
      <c r="A63" s="863">
        <f>+A59+1</f>
        <v>33</v>
      </c>
      <c r="B63" s="720" t="s">
        <v>743</v>
      </c>
      <c r="C63" s="195"/>
      <c r="D63" s="237" t="s">
        <v>767</v>
      </c>
      <c r="E63" s="197" t="s">
        <v>60</v>
      </c>
      <c r="F63" s="199"/>
      <c r="G63" s="198"/>
      <c r="H63" s="746">
        <v>59856.825600000004</v>
      </c>
      <c r="P63" s="80"/>
    </row>
    <row r="64" spans="1:58">
      <c r="A64" s="495">
        <f t="shared" ref="A64:A69" si="2">+A63+1</f>
        <v>34</v>
      </c>
      <c r="B64" s="720" t="s">
        <v>743</v>
      </c>
      <c r="C64" s="195"/>
      <c r="D64" s="237" t="s">
        <v>930</v>
      </c>
      <c r="E64" s="197" t="s">
        <v>60</v>
      </c>
      <c r="F64" s="199"/>
      <c r="G64" s="198"/>
      <c r="H64" s="746">
        <v>68546.400000000009</v>
      </c>
      <c r="P64" s="80"/>
    </row>
    <row r="65" spans="1:58">
      <c r="A65" s="495">
        <f t="shared" si="2"/>
        <v>35</v>
      </c>
      <c r="B65" s="720"/>
      <c r="C65" s="195"/>
      <c r="D65" s="237" t="s">
        <v>857</v>
      </c>
      <c r="E65" s="197" t="s">
        <v>60</v>
      </c>
      <c r="F65" s="199"/>
      <c r="G65" s="198"/>
      <c r="H65" s="746">
        <v>24254.880000000001</v>
      </c>
      <c r="I65" s="358"/>
      <c r="P65" s="80"/>
    </row>
    <row r="66" spans="1:58">
      <c r="A66" s="495">
        <f t="shared" si="2"/>
        <v>36</v>
      </c>
      <c r="B66" s="720" t="s">
        <v>741</v>
      </c>
      <c r="C66" s="195"/>
      <c r="D66" s="719" t="s">
        <v>931</v>
      </c>
      <c r="E66" s="197" t="s">
        <v>60</v>
      </c>
      <c r="F66" s="199"/>
      <c r="G66" s="198"/>
      <c r="H66" s="746">
        <v>0</v>
      </c>
      <c r="P66" s="80"/>
    </row>
    <row r="67" spans="1:58">
      <c r="A67" s="495">
        <f t="shared" si="2"/>
        <v>37</v>
      </c>
      <c r="B67" s="720" t="s">
        <v>741</v>
      </c>
      <c r="C67" s="195"/>
      <c r="D67" s="237" t="s">
        <v>932</v>
      </c>
      <c r="E67" s="197" t="s">
        <v>60</v>
      </c>
      <c r="F67" s="199"/>
      <c r="G67" s="198"/>
      <c r="H67" s="746">
        <v>0</v>
      </c>
      <c r="P67" s="80"/>
    </row>
    <row r="68" spans="1:58">
      <c r="A68" s="495">
        <f t="shared" si="2"/>
        <v>38</v>
      </c>
      <c r="B68" s="720"/>
      <c r="C68" s="195"/>
      <c r="D68" s="237" t="s">
        <v>747</v>
      </c>
      <c r="E68" s="197" t="s">
        <v>75</v>
      </c>
      <c r="F68" s="199"/>
      <c r="G68" s="199"/>
      <c r="H68" s="746">
        <v>8507.5</v>
      </c>
      <c r="P68" s="80"/>
    </row>
    <row r="69" spans="1:58" ht="13.8" thickBot="1">
      <c r="A69" s="495">
        <f t="shared" si="2"/>
        <v>39</v>
      </c>
      <c r="B69" s="723" t="s">
        <v>795</v>
      </c>
      <c r="C69" s="496"/>
      <c r="D69" s="237" t="s">
        <v>748</v>
      </c>
      <c r="E69" s="497" t="s">
        <v>60</v>
      </c>
      <c r="F69" s="199"/>
      <c r="G69" s="199"/>
      <c r="H69" s="746">
        <v>30600</v>
      </c>
      <c r="P69" s="80"/>
    </row>
    <row r="70" spans="1:58" ht="15" customHeight="1" thickBot="1">
      <c r="A70" s="734"/>
      <c r="B70" s="735" t="s">
        <v>57</v>
      </c>
      <c r="C70" s="735"/>
      <c r="D70" s="736" t="str">
        <f>CONCATENATE(B62," ",D62)</f>
        <v>G Ostatní práce</v>
      </c>
      <c r="E70" s="737"/>
      <c r="F70" s="738"/>
      <c r="G70" s="738"/>
      <c r="H70" s="739">
        <v>191765.60560000001</v>
      </c>
      <c r="K70" s="76"/>
      <c r="P70" s="80"/>
    </row>
    <row r="71" spans="1:58" ht="15" customHeight="1">
      <c r="A71" s="163"/>
      <c r="B71" s="180"/>
      <c r="C71" s="180"/>
      <c r="D71" s="179"/>
      <c r="E71" s="163"/>
      <c r="F71" s="178"/>
      <c r="G71" s="178"/>
      <c r="H71" s="168"/>
      <c r="P71" s="80"/>
    </row>
    <row r="72" spans="1:58" ht="15" customHeight="1">
      <c r="A72" s="760" t="s">
        <v>56</v>
      </c>
      <c r="B72" s="761" t="s">
        <v>128</v>
      </c>
      <c r="C72" s="761"/>
      <c r="D72" s="762" t="s">
        <v>136</v>
      </c>
      <c r="E72" s="763"/>
      <c r="F72" s="764"/>
      <c r="G72" s="764"/>
      <c r="H72" s="765"/>
      <c r="P72" s="80"/>
      <c r="BB72" s="81"/>
      <c r="BC72" s="81"/>
      <c r="BD72" s="81"/>
      <c r="BE72" s="81"/>
      <c r="BF72" s="81"/>
    </row>
    <row r="73" spans="1:58" ht="15" customHeight="1">
      <c r="A73" s="194">
        <f>+A69+1</f>
        <v>40</v>
      </c>
      <c r="B73" s="195" t="s">
        <v>80</v>
      </c>
      <c r="C73" s="195"/>
      <c r="D73" s="237" t="s">
        <v>330</v>
      </c>
      <c r="E73" s="197" t="s">
        <v>60</v>
      </c>
      <c r="F73" s="199"/>
      <c r="G73" s="199"/>
      <c r="H73" s="746">
        <v>22587.08</v>
      </c>
      <c r="P73" s="80"/>
      <c r="BB73" s="81"/>
      <c r="BC73" s="81"/>
      <c r="BD73" s="81"/>
      <c r="BE73" s="81"/>
      <c r="BF73" s="81"/>
    </row>
    <row r="74" spans="1:58" ht="15" customHeight="1" thickBot="1">
      <c r="A74" s="194">
        <f>+A73+1</f>
        <v>41</v>
      </c>
      <c r="B74" s="195" t="s">
        <v>80</v>
      </c>
      <c r="C74" s="195"/>
      <c r="D74" s="740" t="s">
        <v>331</v>
      </c>
      <c r="E74" s="197" t="s">
        <v>60</v>
      </c>
      <c r="F74" s="199"/>
      <c r="G74" s="199"/>
      <c r="H74" s="746">
        <v>0</v>
      </c>
      <c r="P74" s="80"/>
      <c r="BB74" s="81"/>
      <c r="BC74" s="81"/>
      <c r="BD74" s="81"/>
      <c r="BE74" s="81"/>
      <c r="BF74" s="81"/>
    </row>
    <row r="75" spans="1:58" ht="15" customHeight="1" thickBot="1">
      <c r="A75" s="734"/>
      <c r="B75" s="735" t="s">
        <v>57</v>
      </c>
      <c r="C75" s="735"/>
      <c r="D75" s="736" t="str">
        <f>CONCATENATE(B72," ",D72)</f>
        <v>I Malby</v>
      </c>
      <c r="E75" s="737"/>
      <c r="F75" s="738"/>
      <c r="G75" s="738"/>
      <c r="H75" s="739">
        <v>22587.08</v>
      </c>
      <c r="P75" s="80"/>
      <c r="BB75" s="81"/>
      <c r="BC75" s="81"/>
      <c r="BD75" s="81"/>
      <c r="BE75" s="81"/>
      <c r="BF75" s="81"/>
    </row>
    <row r="76" spans="1:58" ht="15" customHeight="1">
      <c r="A76" s="163"/>
      <c r="B76" s="180"/>
      <c r="C76" s="180"/>
      <c r="D76" s="179"/>
      <c r="E76" s="163"/>
      <c r="F76" s="178"/>
      <c r="G76" s="178"/>
      <c r="H76" s="168"/>
      <c r="P76" s="80"/>
      <c r="BB76" s="81"/>
      <c r="BC76" s="81"/>
      <c r="BD76" s="81"/>
      <c r="BE76" s="81"/>
      <c r="BF76" s="81"/>
    </row>
    <row r="77" spans="1:58" ht="15" customHeight="1">
      <c r="A77" s="760" t="s">
        <v>56</v>
      </c>
      <c r="B77" s="761" t="s">
        <v>130</v>
      </c>
      <c r="C77" s="761"/>
      <c r="D77" s="762" t="s">
        <v>108</v>
      </c>
      <c r="E77" s="763"/>
      <c r="F77" s="764"/>
      <c r="G77" s="764"/>
      <c r="H77" s="765"/>
      <c r="P77" s="80"/>
      <c r="BB77" s="81"/>
      <c r="BC77" s="81"/>
      <c r="BD77" s="81"/>
      <c r="BE77" s="81"/>
      <c r="BF77" s="81"/>
    </row>
    <row r="78" spans="1:58" ht="15" customHeight="1" thickBot="1">
      <c r="A78" s="194">
        <f>+A74+1</f>
        <v>42</v>
      </c>
      <c r="B78" s="195"/>
      <c r="C78" s="195"/>
      <c r="D78" s="237" t="s">
        <v>306</v>
      </c>
      <c r="E78" s="197" t="s">
        <v>63</v>
      </c>
      <c r="F78" s="199"/>
      <c r="G78" s="199"/>
      <c r="H78" s="746">
        <v>43876.454350159998</v>
      </c>
      <c r="I78" s="169"/>
      <c r="P78" s="80"/>
      <c r="BB78" s="81"/>
      <c r="BC78" s="81"/>
      <c r="BD78" s="81"/>
      <c r="BE78" s="81"/>
      <c r="BF78" s="81"/>
    </row>
    <row r="79" spans="1:58" ht="15" customHeight="1" thickBot="1">
      <c r="A79" s="734"/>
      <c r="B79" s="735" t="s">
        <v>57</v>
      </c>
      <c r="C79" s="735"/>
      <c r="D79" s="736" t="str">
        <f>CONCATENATE(B77," ",D77)</f>
        <v>J Staveništní přesun hmot</v>
      </c>
      <c r="E79" s="737"/>
      <c r="F79" s="738"/>
      <c r="G79" s="738"/>
      <c r="H79" s="739">
        <v>43876.454350159998</v>
      </c>
      <c r="P79" s="80"/>
      <c r="BB79" s="81"/>
      <c r="BC79" s="81"/>
      <c r="BD79" s="81"/>
      <c r="BE79" s="81"/>
      <c r="BF79" s="81"/>
    </row>
    <row r="80" spans="1:58" ht="13.5" customHeight="1">
      <c r="A80" s="163"/>
      <c r="B80" s="180"/>
      <c r="C80" s="180"/>
      <c r="D80" s="179"/>
      <c r="E80" s="163"/>
      <c r="F80" s="178"/>
      <c r="G80" s="178"/>
      <c r="H80" s="168"/>
      <c r="P80" s="80"/>
      <c r="BB80" s="81"/>
      <c r="BC80" s="81"/>
      <c r="BD80" s="81"/>
      <c r="BE80" s="81"/>
      <c r="BF80" s="81"/>
    </row>
    <row r="81" spans="1:58" ht="15" hidden="1" customHeight="1">
      <c r="A81" s="163"/>
      <c r="B81" s="180"/>
      <c r="C81" s="180"/>
      <c r="D81" s="179"/>
      <c r="E81" s="163"/>
      <c r="F81" s="178"/>
      <c r="G81" s="178"/>
      <c r="H81" s="168"/>
      <c r="P81" s="80"/>
      <c r="BB81" s="81"/>
      <c r="BC81" s="81"/>
      <c r="BD81" s="81"/>
      <c r="BE81" s="81"/>
      <c r="BF81" s="81"/>
    </row>
    <row r="82" spans="1:58" ht="15" hidden="1" customHeight="1">
      <c r="A82" s="163"/>
      <c r="B82" s="180"/>
      <c r="C82" s="180"/>
      <c r="D82" s="179"/>
      <c r="E82" s="163"/>
      <c r="F82" s="178"/>
      <c r="G82" s="178"/>
      <c r="H82" s="168"/>
      <c r="P82" s="80"/>
      <c r="BB82" s="81"/>
      <c r="BC82" s="81"/>
      <c r="BD82" s="81"/>
      <c r="BE82" s="81"/>
      <c r="BF82" s="81"/>
    </row>
    <row r="83" spans="1:58" ht="15" customHeight="1">
      <c r="A83" s="163"/>
      <c r="B83" s="180"/>
      <c r="C83" s="180"/>
      <c r="D83" s="182"/>
      <c r="E83" s="163"/>
      <c r="F83" s="178"/>
      <c r="G83" s="178"/>
      <c r="H83" s="168"/>
      <c r="I83" s="82"/>
      <c r="P83" s="80"/>
      <c r="BB83" s="81"/>
      <c r="BC83" s="81"/>
      <c r="BD83" s="81"/>
      <c r="BE83" s="81"/>
      <c r="BF83" s="81"/>
    </row>
    <row r="84" spans="1:58" ht="15" customHeight="1">
      <c r="A84" s="760" t="s">
        <v>56</v>
      </c>
      <c r="B84" s="761" t="s">
        <v>151</v>
      </c>
      <c r="C84" s="761"/>
      <c r="D84" s="859" t="s">
        <v>125</v>
      </c>
      <c r="E84" s="860"/>
      <c r="F84" s="861"/>
      <c r="G84" s="861"/>
      <c r="H84" s="765"/>
      <c r="P84" s="80"/>
      <c r="BB84" s="81"/>
      <c r="BC84" s="81"/>
      <c r="BD84" s="81"/>
      <c r="BE84" s="81"/>
      <c r="BF84" s="81"/>
    </row>
    <row r="85" spans="1:58" ht="15" customHeight="1">
      <c r="A85" s="194">
        <f>A78+1</f>
        <v>43</v>
      </c>
      <c r="B85" s="195" t="s">
        <v>80</v>
      </c>
      <c r="C85" s="195"/>
      <c r="D85" s="196" t="s">
        <v>886</v>
      </c>
      <c r="E85" s="197" t="s">
        <v>63</v>
      </c>
      <c r="F85" s="199"/>
      <c r="G85" s="199"/>
      <c r="H85" s="746">
        <v>29197.74</v>
      </c>
      <c r="P85" s="80"/>
      <c r="BB85" s="81"/>
      <c r="BC85" s="81"/>
      <c r="BD85" s="81"/>
      <c r="BE85" s="81"/>
      <c r="BF85" s="81"/>
    </row>
    <row r="86" spans="1:58" ht="15" hidden="1" customHeight="1">
      <c r="A86" s="194"/>
      <c r="B86" s="195" t="s">
        <v>80</v>
      </c>
      <c r="C86" s="195"/>
      <c r="D86" s="196"/>
      <c r="E86" s="197" t="s">
        <v>63</v>
      </c>
      <c r="F86" s="199"/>
      <c r="G86" s="199"/>
      <c r="H86" s="746"/>
      <c r="I86" s="79"/>
      <c r="J86" s="79"/>
      <c r="P86" s="80"/>
    </row>
    <row r="87" spans="1:58" ht="15" hidden="1" customHeight="1">
      <c r="A87" s="194">
        <f>A86+1</f>
        <v>1</v>
      </c>
      <c r="B87" s="730" t="s">
        <v>80</v>
      </c>
      <c r="C87" s="730"/>
      <c r="D87" s="754" t="s">
        <v>438</v>
      </c>
      <c r="E87" s="732" t="s">
        <v>63</v>
      </c>
      <c r="F87" s="733"/>
      <c r="G87" s="733"/>
      <c r="H87" s="747">
        <v>0</v>
      </c>
      <c r="P87" s="80"/>
    </row>
    <row r="88" spans="1:58" ht="15" customHeight="1" thickBot="1">
      <c r="A88" s="194">
        <v>44</v>
      </c>
      <c r="B88" s="730" t="s">
        <v>80</v>
      </c>
      <c r="C88" s="730"/>
      <c r="D88" s="754" t="s">
        <v>839</v>
      </c>
      <c r="E88" s="732" t="s">
        <v>316</v>
      </c>
      <c r="F88" s="733"/>
      <c r="G88" s="733"/>
      <c r="H88" s="747">
        <v>4970</v>
      </c>
      <c r="P88" s="80"/>
    </row>
    <row r="89" spans="1:58" ht="15" customHeight="1" thickBot="1">
      <c r="A89" s="734"/>
      <c r="B89" s="735" t="s">
        <v>57</v>
      </c>
      <c r="C89" s="735"/>
      <c r="D89" s="736" t="str">
        <f>CONCATENATE(B84," ",D84)</f>
        <v>K Vnitřní instalace</v>
      </c>
      <c r="E89" s="737"/>
      <c r="F89" s="738"/>
      <c r="G89" s="738"/>
      <c r="H89" s="862">
        <v>34167.740000000005</v>
      </c>
      <c r="P89" s="80"/>
    </row>
    <row r="90" spans="1:58" ht="15" customHeight="1" thickBot="1">
      <c r="A90" s="163"/>
      <c r="B90" s="180"/>
      <c r="C90" s="180"/>
      <c r="D90" s="179"/>
      <c r="E90" s="163"/>
      <c r="F90" s="178"/>
      <c r="G90" s="178"/>
      <c r="H90" s="168"/>
      <c r="P90" s="80"/>
    </row>
    <row r="91" spans="1:58" ht="15" customHeight="1" thickBot="1">
      <c r="A91" s="755"/>
      <c r="B91" s="756"/>
      <c r="C91" s="756"/>
      <c r="D91" s="757" t="s">
        <v>887</v>
      </c>
      <c r="E91" s="758"/>
      <c r="F91" s="759"/>
      <c r="G91" s="759"/>
      <c r="H91" s="749"/>
      <c r="P91" s="80"/>
    </row>
    <row r="92" spans="1:58" ht="15" customHeight="1">
      <c r="A92" s="163"/>
      <c r="B92" s="180"/>
      <c r="C92" s="180"/>
      <c r="D92" s="179"/>
      <c r="E92" s="163"/>
      <c r="F92" s="178"/>
      <c r="G92" s="178"/>
      <c r="H92" s="168"/>
      <c r="P92" s="80"/>
    </row>
    <row r="93" spans="1:58" ht="15" customHeight="1">
      <c r="A93" s="766" t="s">
        <v>56</v>
      </c>
      <c r="B93" s="767" t="s">
        <v>132</v>
      </c>
      <c r="C93" s="767"/>
      <c r="D93" s="768" t="s">
        <v>126</v>
      </c>
      <c r="E93" s="769"/>
      <c r="F93" s="770"/>
      <c r="G93" s="770"/>
      <c r="H93" s="771"/>
      <c r="P93" s="80"/>
      <c r="BB93" s="81"/>
      <c r="BC93" s="81"/>
      <c r="BD93" s="81"/>
      <c r="BE93" s="81"/>
      <c r="BF93" s="81"/>
    </row>
    <row r="94" spans="1:58" ht="15" customHeight="1">
      <c r="A94" s="194">
        <f>+A88+1</f>
        <v>45</v>
      </c>
      <c r="B94" s="721" t="s">
        <v>80</v>
      </c>
      <c r="C94" s="195"/>
      <c r="D94" s="196" t="s">
        <v>768</v>
      </c>
      <c r="E94" s="197" t="s">
        <v>63</v>
      </c>
      <c r="F94" s="199"/>
      <c r="G94" s="199"/>
      <c r="H94" s="746">
        <v>42412</v>
      </c>
      <c r="P94" s="80"/>
      <c r="BB94" s="81"/>
      <c r="BC94" s="81"/>
      <c r="BD94" s="81"/>
      <c r="BE94" s="81"/>
      <c r="BF94" s="81"/>
    </row>
    <row r="95" spans="1:58" ht="15" customHeight="1">
      <c r="A95" s="194">
        <f>A94+1</f>
        <v>46</v>
      </c>
      <c r="B95" s="721" t="s">
        <v>80</v>
      </c>
      <c r="C95" s="195"/>
      <c r="D95" s="196" t="s">
        <v>93</v>
      </c>
      <c r="E95" s="197" t="s">
        <v>63</v>
      </c>
      <c r="F95" s="199"/>
      <c r="G95" s="199"/>
      <c r="H95" s="746">
        <v>6000</v>
      </c>
      <c r="I95" s="79"/>
      <c r="J95" s="79"/>
      <c r="P95" s="80"/>
    </row>
    <row r="96" spans="1:58" ht="15" customHeight="1">
      <c r="A96" s="194">
        <f>A95+1</f>
        <v>47</v>
      </c>
      <c r="B96" s="721" t="s">
        <v>80</v>
      </c>
      <c r="C96" s="195"/>
      <c r="D96" s="196" t="s">
        <v>769</v>
      </c>
      <c r="E96" s="197" t="s">
        <v>63</v>
      </c>
      <c r="F96" s="199"/>
      <c r="G96" s="199"/>
      <c r="H96" s="746">
        <v>0</v>
      </c>
      <c r="P96" s="80"/>
    </row>
    <row r="97" spans="1:58" ht="15" customHeight="1" thickBot="1">
      <c r="A97" s="194">
        <f>A96+1</f>
        <v>48</v>
      </c>
      <c r="B97" s="721" t="s">
        <v>80</v>
      </c>
      <c r="C97" s="195"/>
      <c r="D97" s="196" t="s">
        <v>94</v>
      </c>
      <c r="E97" s="197" t="s">
        <v>63</v>
      </c>
      <c r="F97" s="199"/>
      <c r="G97" s="199"/>
      <c r="H97" s="746">
        <v>0</v>
      </c>
      <c r="P97" s="80"/>
    </row>
    <row r="98" spans="1:58" ht="15" customHeight="1" thickBot="1">
      <c r="A98" s="755"/>
      <c r="B98" s="756" t="s">
        <v>57</v>
      </c>
      <c r="C98" s="756"/>
      <c r="D98" s="757" t="str">
        <f>CONCATENATE(B93," ",D93)</f>
        <v>L Zařizovací předměty</v>
      </c>
      <c r="E98" s="758"/>
      <c r="F98" s="759"/>
      <c r="G98" s="759"/>
      <c r="H98" s="749">
        <v>48412</v>
      </c>
      <c r="P98" s="80"/>
    </row>
    <row r="99" spans="1:58" ht="15" customHeight="1">
      <c r="A99" s="183"/>
      <c r="B99" s="184"/>
      <c r="C99" s="184"/>
      <c r="D99" s="185"/>
      <c r="E99" s="183"/>
      <c r="F99" s="186"/>
      <c r="G99" s="186"/>
      <c r="H99" s="168"/>
      <c r="P99" s="80"/>
    </row>
    <row r="100" spans="1:58" ht="15" customHeight="1">
      <c r="A100" s="766" t="s">
        <v>56</v>
      </c>
      <c r="B100" s="767" t="s">
        <v>152</v>
      </c>
      <c r="C100" s="767"/>
      <c r="D100" s="768" t="s">
        <v>129</v>
      </c>
      <c r="E100" s="769"/>
      <c r="F100" s="770"/>
      <c r="G100" s="770"/>
      <c r="H100" s="771"/>
      <c r="P100" s="80"/>
      <c r="BB100" s="81"/>
      <c r="BC100" s="81"/>
      <c r="BD100" s="81"/>
      <c r="BE100" s="81"/>
      <c r="BF100" s="81"/>
    </row>
    <row r="101" spans="1:58" ht="15" customHeight="1">
      <c r="A101" s="194">
        <f>A97+1</f>
        <v>49</v>
      </c>
      <c r="B101" s="721" t="s">
        <v>80</v>
      </c>
      <c r="C101" s="195"/>
      <c r="D101" s="196" t="s">
        <v>650</v>
      </c>
      <c r="E101" s="197" t="s">
        <v>63</v>
      </c>
      <c r="F101" s="199"/>
      <c r="G101" s="199"/>
      <c r="H101" s="746">
        <v>0</v>
      </c>
      <c r="P101" s="80"/>
      <c r="BB101" s="81"/>
      <c r="BC101" s="81"/>
      <c r="BD101" s="81"/>
      <c r="BE101" s="81"/>
      <c r="BF101" s="81"/>
    </row>
    <row r="102" spans="1:58" ht="15" customHeight="1">
      <c r="A102" s="194"/>
      <c r="B102" s="721" t="s">
        <v>80</v>
      </c>
      <c r="C102" s="195"/>
      <c r="D102" s="196" t="s">
        <v>852</v>
      </c>
      <c r="E102" s="197" t="s">
        <v>60</v>
      </c>
      <c r="F102" s="199"/>
      <c r="G102" s="199"/>
      <c r="H102" s="746">
        <v>0</v>
      </c>
      <c r="P102" s="80"/>
      <c r="BB102" s="81"/>
      <c r="BC102" s="81"/>
      <c r="BD102" s="81"/>
      <c r="BE102" s="81"/>
      <c r="BF102" s="81"/>
    </row>
    <row r="103" spans="1:58" ht="15" customHeight="1">
      <c r="A103" s="194">
        <f>+A101+1</f>
        <v>50</v>
      </c>
      <c r="B103" s="721" t="s">
        <v>80</v>
      </c>
      <c r="C103" s="195"/>
      <c r="D103" s="196" t="s">
        <v>919</v>
      </c>
      <c r="E103" s="197" t="s">
        <v>60</v>
      </c>
      <c r="F103" s="199"/>
      <c r="G103" s="199"/>
      <c r="H103" s="746">
        <v>0</v>
      </c>
      <c r="I103" s="79"/>
      <c r="J103" s="79"/>
      <c r="P103" s="80"/>
    </row>
    <row r="104" spans="1:58" ht="15" customHeight="1">
      <c r="A104" s="194">
        <f t="shared" ref="A104:A111" si="3">+A103+1</f>
        <v>51</v>
      </c>
      <c r="B104" s="721" t="s">
        <v>80</v>
      </c>
      <c r="C104" s="195"/>
      <c r="D104" s="196" t="s">
        <v>920</v>
      </c>
      <c r="E104" s="197" t="s">
        <v>60</v>
      </c>
      <c r="F104" s="199"/>
      <c r="G104" s="199"/>
      <c r="H104" s="746">
        <v>0</v>
      </c>
      <c r="P104" s="80"/>
    </row>
    <row r="105" spans="1:58" ht="15" customHeight="1">
      <c r="A105" s="194">
        <f t="shared" si="3"/>
        <v>52</v>
      </c>
      <c r="B105" s="721" t="s">
        <v>80</v>
      </c>
      <c r="C105" s="195"/>
      <c r="D105" s="196" t="s">
        <v>303</v>
      </c>
      <c r="E105" s="197" t="s">
        <v>63</v>
      </c>
      <c r="F105" s="199"/>
      <c r="G105" s="199"/>
      <c r="H105" s="746">
        <v>0</v>
      </c>
      <c r="P105" s="80"/>
    </row>
    <row r="106" spans="1:58" ht="15" customHeight="1">
      <c r="A106" s="194">
        <f t="shared" si="3"/>
        <v>53</v>
      </c>
      <c r="B106" s="721" t="s">
        <v>80</v>
      </c>
      <c r="C106" s="195"/>
      <c r="D106" s="196" t="s">
        <v>304</v>
      </c>
      <c r="E106" s="197" t="s">
        <v>63</v>
      </c>
      <c r="F106" s="199"/>
      <c r="G106" s="199"/>
      <c r="H106" s="746">
        <v>0</v>
      </c>
      <c r="P106" s="80"/>
    </row>
    <row r="107" spans="1:58" ht="15" customHeight="1">
      <c r="A107" s="194">
        <f t="shared" si="3"/>
        <v>54</v>
      </c>
      <c r="B107" s="721" t="s">
        <v>80</v>
      </c>
      <c r="C107" s="195"/>
      <c r="D107" s="196" t="s">
        <v>472</v>
      </c>
      <c r="E107" s="197" t="s">
        <v>63</v>
      </c>
      <c r="F107" s="199"/>
      <c r="G107" s="199"/>
      <c r="H107" s="746">
        <v>0</v>
      </c>
      <c r="P107" s="80"/>
    </row>
    <row r="108" spans="1:58" ht="15" customHeight="1">
      <c r="A108" s="194">
        <f t="shared" si="3"/>
        <v>55</v>
      </c>
      <c r="B108" s="721" t="s">
        <v>80</v>
      </c>
      <c r="C108" s="195"/>
      <c r="D108" s="196" t="s">
        <v>473</v>
      </c>
      <c r="E108" s="197" t="s">
        <v>63</v>
      </c>
      <c r="F108" s="199"/>
      <c r="G108" s="199"/>
      <c r="H108" s="746">
        <v>0</v>
      </c>
      <c r="P108" s="80"/>
    </row>
    <row r="109" spans="1:58" ht="15" customHeight="1">
      <c r="A109" s="194">
        <f t="shared" si="3"/>
        <v>56</v>
      </c>
      <c r="B109" s="721" t="s">
        <v>80</v>
      </c>
      <c r="C109" s="195"/>
      <c r="D109" s="697" t="s">
        <v>417</v>
      </c>
      <c r="E109" s="698" t="s">
        <v>63</v>
      </c>
      <c r="F109" s="699"/>
      <c r="G109" s="699"/>
      <c r="H109" s="746">
        <v>55800</v>
      </c>
      <c r="P109" s="80"/>
    </row>
    <row r="110" spans="1:58" ht="15" customHeight="1">
      <c r="A110" s="194">
        <f t="shared" si="3"/>
        <v>57</v>
      </c>
      <c r="B110" s="721" t="s">
        <v>80</v>
      </c>
      <c r="C110" s="195"/>
      <c r="D110" s="697" t="s">
        <v>418</v>
      </c>
      <c r="E110" s="698" t="s">
        <v>63</v>
      </c>
      <c r="F110" s="699"/>
      <c r="G110" s="699"/>
      <c r="H110" s="746">
        <v>0</v>
      </c>
      <c r="P110" s="80"/>
    </row>
    <row r="111" spans="1:58" ht="15" customHeight="1" thickBot="1">
      <c r="A111" s="863">
        <f t="shared" si="3"/>
        <v>58</v>
      </c>
      <c r="B111" s="721" t="s">
        <v>80</v>
      </c>
      <c r="C111" s="195"/>
      <c r="D111" s="196" t="s">
        <v>305</v>
      </c>
      <c r="E111" s="197" t="s">
        <v>63</v>
      </c>
      <c r="F111" s="199"/>
      <c r="G111" s="199"/>
      <c r="H111" s="746">
        <v>0</v>
      </c>
      <c r="P111" s="80"/>
    </row>
    <row r="112" spans="1:58" ht="15" customHeight="1" thickBot="1">
      <c r="A112" s="755"/>
      <c r="B112" s="756" t="s">
        <v>57</v>
      </c>
      <c r="C112" s="756"/>
      <c r="D112" s="757" t="str">
        <f>CONCATENATE(B100," ",D100)</f>
        <v>M Vytápění</v>
      </c>
      <c r="E112" s="758"/>
      <c r="F112" s="759"/>
      <c r="G112" s="759"/>
      <c r="H112" s="749">
        <v>55800</v>
      </c>
      <c r="P112" s="80"/>
    </row>
    <row r="113" spans="1:58" ht="15" customHeight="1">
      <c r="A113" s="163"/>
      <c r="B113" s="180"/>
      <c r="C113" s="180"/>
      <c r="D113" s="179"/>
      <c r="E113" s="163"/>
      <c r="F113" s="178"/>
      <c r="G113" s="178"/>
      <c r="H113" s="168"/>
      <c r="P113" s="80"/>
    </row>
    <row r="114" spans="1:58" ht="15" customHeight="1">
      <c r="A114" s="766" t="s">
        <v>56</v>
      </c>
      <c r="B114" s="767" t="s">
        <v>17</v>
      </c>
      <c r="C114" s="767"/>
      <c r="D114" s="768" t="s">
        <v>131</v>
      </c>
      <c r="E114" s="769"/>
      <c r="F114" s="770"/>
      <c r="G114" s="770"/>
      <c r="H114" s="771"/>
      <c r="P114" s="80"/>
      <c r="BB114" s="81"/>
      <c r="BC114" s="81"/>
      <c r="BD114" s="81"/>
      <c r="BE114" s="81"/>
      <c r="BF114" s="81"/>
    </row>
    <row r="115" spans="1:58" ht="15" customHeight="1">
      <c r="A115" s="194">
        <f>+A111+1</f>
        <v>59</v>
      </c>
      <c r="B115" s="721" t="s">
        <v>739</v>
      </c>
      <c r="C115" s="195"/>
      <c r="D115" s="196" t="s">
        <v>791</v>
      </c>
      <c r="E115" s="197" t="s">
        <v>60</v>
      </c>
      <c r="F115" s="199"/>
      <c r="G115" s="199"/>
      <c r="H115" s="746">
        <v>963.9</v>
      </c>
      <c r="P115" s="80"/>
      <c r="BB115" s="81"/>
      <c r="BC115" s="81"/>
      <c r="BD115" s="81"/>
      <c r="BE115" s="81"/>
      <c r="BF115" s="81"/>
    </row>
    <row r="116" spans="1:58" ht="15" customHeight="1">
      <c r="A116" s="194">
        <f>+A115+1</f>
        <v>60</v>
      </c>
      <c r="B116" s="721" t="s">
        <v>739</v>
      </c>
      <c r="C116" s="195"/>
      <c r="D116" s="196" t="s">
        <v>790</v>
      </c>
      <c r="E116" s="197" t="s">
        <v>60</v>
      </c>
      <c r="F116" s="199"/>
      <c r="G116" s="199"/>
      <c r="H116" s="746">
        <v>918</v>
      </c>
      <c r="P116" s="80"/>
      <c r="BB116" s="81"/>
      <c r="BC116" s="81"/>
      <c r="BD116" s="81"/>
      <c r="BE116" s="81"/>
      <c r="BF116" s="81"/>
    </row>
    <row r="117" spans="1:58" ht="15" customHeight="1">
      <c r="A117" s="194">
        <f t="shared" ref="A117:A127" si="4">+A116+1</f>
        <v>61</v>
      </c>
      <c r="B117" s="721" t="s">
        <v>739</v>
      </c>
      <c r="C117" s="195"/>
      <c r="D117" s="196" t="s">
        <v>793</v>
      </c>
      <c r="E117" s="197" t="s">
        <v>60</v>
      </c>
      <c r="F117" s="199"/>
      <c r="G117" s="199"/>
      <c r="H117" s="746">
        <v>8568</v>
      </c>
      <c r="I117" s="79"/>
      <c r="J117" s="79"/>
      <c r="P117" s="80"/>
    </row>
    <row r="118" spans="1:58" ht="15" customHeight="1">
      <c r="A118" s="194">
        <f t="shared" si="4"/>
        <v>62</v>
      </c>
      <c r="B118" s="721" t="s">
        <v>739</v>
      </c>
      <c r="C118" s="195"/>
      <c r="D118" s="196" t="s">
        <v>792</v>
      </c>
      <c r="E118" s="197" t="s">
        <v>60</v>
      </c>
      <c r="F118" s="199"/>
      <c r="G118" s="199"/>
      <c r="H118" s="746">
        <v>8160</v>
      </c>
      <c r="I118" s="79"/>
      <c r="J118" s="79"/>
      <c r="P118" s="80"/>
    </row>
    <row r="119" spans="1:58" ht="15" customHeight="1">
      <c r="A119" s="194">
        <f t="shared" si="4"/>
        <v>63</v>
      </c>
      <c r="B119" s="721" t="s">
        <v>739</v>
      </c>
      <c r="C119" s="195"/>
      <c r="D119" s="196" t="s">
        <v>745</v>
      </c>
      <c r="E119" s="197" t="s">
        <v>60</v>
      </c>
      <c r="F119" s="199"/>
      <c r="G119" s="199"/>
      <c r="H119" s="746">
        <v>39000</v>
      </c>
      <c r="P119" s="80"/>
    </row>
    <row r="120" spans="1:58" ht="15" customHeight="1">
      <c r="A120" s="194">
        <f t="shared" si="4"/>
        <v>64</v>
      </c>
      <c r="B120" s="721" t="s">
        <v>740</v>
      </c>
      <c r="C120" s="195"/>
      <c r="D120" s="196" t="s">
        <v>791</v>
      </c>
      <c r="E120" s="197" t="s">
        <v>60</v>
      </c>
      <c r="F120" s="199"/>
      <c r="G120" s="199"/>
      <c r="H120" s="746">
        <v>0</v>
      </c>
      <c r="P120" s="80"/>
    </row>
    <row r="121" spans="1:58" ht="15" customHeight="1">
      <c r="A121" s="194">
        <f t="shared" si="4"/>
        <v>65</v>
      </c>
      <c r="B121" s="721" t="s">
        <v>740</v>
      </c>
      <c r="C121" s="195"/>
      <c r="D121" s="196" t="s">
        <v>790</v>
      </c>
      <c r="E121" s="197" t="s">
        <v>60</v>
      </c>
      <c r="F121" s="199"/>
      <c r="G121" s="199"/>
      <c r="H121" s="746">
        <v>0</v>
      </c>
      <c r="P121" s="80"/>
    </row>
    <row r="122" spans="1:58" ht="15" customHeight="1">
      <c r="A122" s="194">
        <f t="shared" si="4"/>
        <v>66</v>
      </c>
      <c r="B122" s="721" t="s">
        <v>740</v>
      </c>
      <c r="C122" s="195"/>
      <c r="D122" s="196" t="s">
        <v>793</v>
      </c>
      <c r="E122" s="197" t="s">
        <v>60</v>
      </c>
      <c r="F122" s="199"/>
      <c r="G122" s="199"/>
      <c r="H122" s="746">
        <v>0</v>
      </c>
      <c r="P122" s="80"/>
    </row>
    <row r="123" spans="1:58" ht="15" customHeight="1">
      <c r="A123" s="194">
        <f t="shared" si="4"/>
        <v>67</v>
      </c>
      <c r="B123" s="721" t="s">
        <v>740</v>
      </c>
      <c r="C123" s="195"/>
      <c r="D123" s="196" t="s">
        <v>792</v>
      </c>
      <c r="E123" s="197" t="s">
        <v>60</v>
      </c>
      <c r="F123" s="199"/>
      <c r="G123" s="199"/>
      <c r="H123" s="746">
        <v>0</v>
      </c>
      <c r="P123" s="80"/>
    </row>
    <row r="124" spans="1:58" ht="15" customHeight="1">
      <c r="A124" s="194">
        <f t="shared" si="4"/>
        <v>68</v>
      </c>
      <c r="B124" s="721" t="s">
        <v>740</v>
      </c>
      <c r="C124" s="195"/>
      <c r="D124" s="196" t="s">
        <v>745</v>
      </c>
      <c r="E124" s="197" t="s">
        <v>60</v>
      </c>
      <c r="F124" s="199"/>
      <c r="G124" s="199"/>
      <c r="H124" s="746">
        <v>0</v>
      </c>
      <c r="P124" s="80"/>
    </row>
    <row r="125" spans="1:58" ht="15" customHeight="1">
      <c r="A125" s="194">
        <f t="shared" si="4"/>
        <v>69</v>
      </c>
      <c r="B125" s="721" t="s">
        <v>794</v>
      </c>
      <c r="C125" s="195"/>
      <c r="D125" s="196" t="s">
        <v>770</v>
      </c>
      <c r="E125" s="197" t="s">
        <v>316</v>
      </c>
      <c r="F125" s="199"/>
      <c r="G125" s="199"/>
      <c r="H125" s="746">
        <v>0</v>
      </c>
      <c r="P125" s="80"/>
    </row>
    <row r="126" spans="1:58" ht="15" customHeight="1">
      <c r="A126" s="194">
        <f t="shared" si="4"/>
        <v>70</v>
      </c>
      <c r="B126" s="721" t="s">
        <v>773</v>
      </c>
      <c r="C126" s="195"/>
      <c r="D126" s="196" t="s">
        <v>771</v>
      </c>
      <c r="E126" s="197" t="s">
        <v>60</v>
      </c>
      <c r="F126" s="199"/>
      <c r="G126" s="199"/>
      <c r="H126" s="746">
        <v>1666</v>
      </c>
      <c r="P126" s="80"/>
    </row>
    <row r="127" spans="1:58" ht="15" customHeight="1" thickBot="1">
      <c r="A127" s="194">
        <f t="shared" si="4"/>
        <v>71</v>
      </c>
      <c r="B127" s="721" t="s">
        <v>773</v>
      </c>
      <c r="C127" s="195"/>
      <c r="D127" s="196" t="s">
        <v>772</v>
      </c>
      <c r="E127" s="197" t="s">
        <v>60</v>
      </c>
      <c r="F127" s="199"/>
      <c r="G127" s="199"/>
      <c r="H127" s="746">
        <v>3543.4799999999996</v>
      </c>
      <c r="P127" s="80"/>
    </row>
    <row r="128" spans="1:58" ht="15" customHeight="1" thickBot="1">
      <c r="A128" s="755"/>
      <c r="B128" s="756" t="s">
        <v>57</v>
      </c>
      <c r="C128" s="756"/>
      <c r="D128" s="757" t="str">
        <f>CONCATENATE(B114," ",D114)</f>
        <v>N Podlahy a obklady</v>
      </c>
      <c r="E128" s="758"/>
      <c r="F128" s="759"/>
      <c r="G128" s="759"/>
      <c r="H128" s="749">
        <v>62819.380000000005</v>
      </c>
      <c r="P128" s="80"/>
    </row>
    <row r="129" spans="1:58" ht="15" customHeight="1">
      <c r="A129" s="163"/>
      <c r="B129" s="180"/>
      <c r="C129" s="180"/>
      <c r="D129" s="179"/>
      <c r="E129" s="163"/>
      <c r="F129" s="178"/>
      <c r="G129" s="178"/>
      <c r="H129" s="168"/>
      <c r="P129" s="80"/>
    </row>
    <row r="130" spans="1:58" ht="15" customHeight="1">
      <c r="A130" s="766" t="s">
        <v>56</v>
      </c>
      <c r="B130" s="767" t="s">
        <v>135</v>
      </c>
      <c r="C130" s="767"/>
      <c r="D130" s="768" t="s">
        <v>133</v>
      </c>
      <c r="E130" s="769"/>
      <c r="F130" s="770"/>
      <c r="G130" s="770"/>
      <c r="H130" s="771"/>
      <c r="P130" s="80"/>
      <c r="BB130" s="81"/>
      <c r="BC130" s="81"/>
      <c r="BD130" s="81"/>
      <c r="BE130" s="81"/>
      <c r="BF130" s="81"/>
    </row>
    <row r="131" spans="1:58" ht="15" customHeight="1">
      <c r="A131" s="194">
        <f>A127+1</f>
        <v>72</v>
      </c>
      <c r="B131" s="195" t="s">
        <v>80</v>
      </c>
      <c r="C131" s="195"/>
      <c r="D131" s="196" t="s">
        <v>106</v>
      </c>
      <c r="E131" s="197" t="s">
        <v>63</v>
      </c>
      <c r="F131" s="199"/>
      <c r="G131" s="199"/>
      <c r="H131" s="746">
        <v>107078.40000000001</v>
      </c>
      <c r="P131" s="80"/>
      <c r="BB131" s="81"/>
      <c r="BC131" s="81"/>
      <c r="BD131" s="81"/>
      <c r="BE131" s="81"/>
      <c r="BF131" s="81"/>
    </row>
    <row r="132" spans="1:58" ht="15" customHeight="1" thickBot="1">
      <c r="A132" s="194">
        <f>A131+1</f>
        <v>73</v>
      </c>
      <c r="B132" s="195" t="s">
        <v>80</v>
      </c>
      <c r="C132" s="195"/>
      <c r="D132" s="196" t="s">
        <v>107</v>
      </c>
      <c r="E132" s="197" t="s">
        <v>63</v>
      </c>
      <c r="F132" s="199"/>
      <c r="G132" s="199"/>
      <c r="H132" s="746">
        <v>0</v>
      </c>
      <c r="I132" s="79"/>
      <c r="J132" s="79"/>
      <c r="P132" s="80"/>
    </row>
    <row r="133" spans="1:58" ht="15" customHeight="1" thickBot="1">
      <c r="A133" s="755"/>
      <c r="B133" s="756" t="s">
        <v>57</v>
      </c>
      <c r="C133" s="756"/>
      <c r="D133" s="757" t="str">
        <f>CONCATENATE(B130," ",D130)</f>
        <v>O Elektroinstalace</v>
      </c>
      <c r="E133" s="758"/>
      <c r="F133" s="759"/>
      <c r="G133" s="759"/>
      <c r="H133" s="749">
        <v>107078.40000000001</v>
      </c>
      <c r="P133" s="80"/>
    </row>
    <row r="134" spans="1:58" ht="15" customHeight="1">
      <c r="A134" s="163"/>
      <c r="B134" s="180"/>
      <c r="C134" s="180"/>
      <c r="D134" s="179"/>
      <c r="E134" s="163"/>
      <c r="F134" s="178"/>
      <c r="G134" s="178"/>
      <c r="H134" s="168"/>
      <c r="P134" s="80"/>
    </row>
    <row r="135" spans="1:58" ht="15" customHeight="1">
      <c r="A135" s="766" t="s">
        <v>56</v>
      </c>
      <c r="B135" s="767" t="s">
        <v>137</v>
      </c>
      <c r="C135" s="767"/>
      <c r="D135" s="768" t="s">
        <v>134</v>
      </c>
      <c r="E135" s="769"/>
      <c r="F135" s="770"/>
      <c r="G135" s="770"/>
      <c r="H135" s="771"/>
      <c r="P135" s="80"/>
      <c r="BB135" s="81"/>
      <c r="BC135" s="81"/>
      <c r="BD135" s="81"/>
      <c r="BE135" s="81"/>
      <c r="BF135" s="81"/>
    </row>
    <row r="136" spans="1:58" ht="15" customHeight="1">
      <c r="A136" s="194">
        <f>A132+1</f>
        <v>74</v>
      </c>
      <c r="B136" s="721" t="s">
        <v>80</v>
      </c>
      <c r="C136" s="195"/>
      <c r="D136" s="196" t="s">
        <v>738</v>
      </c>
      <c r="E136" s="197" t="s">
        <v>65</v>
      </c>
      <c r="F136" s="199"/>
      <c r="G136" s="199"/>
      <c r="H136" s="746">
        <v>37600</v>
      </c>
      <c r="P136" s="80"/>
      <c r="BB136" s="81"/>
      <c r="BC136" s="81"/>
      <c r="BD136" s="81"/>
      <c r="BE136" s="81"/>
      <c r="BF136" s="81"/>
    </row>
    <row r="137" spans="1:58" ht="15" customHeight="1">
      <c r="A137" s="194">
        <f>+A136+1</f>
        <v>75</v>
      </c>
      <c r="B137" s="721" t="s">
        <v>80</v>
      </c>
      <c r="C137" s="195"/>
      <c r="D137" s="196" t="s">
        <v>724</v>
      </c>
      <c r="E137" s="197" t="s">
        <v>65</v>
      </c>
      <c r="F137" s="199"/>
      <c r="G137" s="199"/>
      <c r="H137" s="746">
        <v>0</v>
      </c>
      <c r="P137" s="80"/>
      <c r="BB137" s="81"/>
      <c r="BC137" s="81"/>
      <c r="BD137" s="81"/>
      <c r="BE137" s="81"/>
      <c r="BF137" s="81"/>
    </row>
    <row r="138" spans="1:58" ht="15" customHeight="1">
      <c r="A138" s="194">
        <f>+A137+1</f>
        <v>76</v>
      </c>
      <c r="B138" s="721" t="s">
        <v>80</v>
      </c>
      <c r="C138" s="195"/>
      <c r="D138" s="196" t="s">
        <v>746</v>
      </c>
      <c r="E138" s="197" t="s">
        <v>63</v>
      </c>
      <c r="F138" s="199"/>
      <c r="G138" s="199"/>
      <c r="H138" s="746">
        <v>0</v>
      </c>
      <c r="I138" s="79"/>
      <c r="J138" s="79"/>
      <c r="P138" s="80"/>
    </row>
    <row r="139" spans="1:58" ht="24.75" customHeight="1">
      <c r="A139" s="194">
        <f>+A138+1</f>
        <v>77</v>
      </c>
      <c r="B139" s="721" t="s">
        <v>80</v>
      </c>
      <c r="C139" s="195"/>
      <c r="D139" s="196" t="s">
        <v>797</v>
      </c>
      <c r="E139" s="197" t="s">
        <v>63</v>
      </c>
      <c r="F139" s="199"/>
      <c r="G139" s="199"/>
      <c r="H139" s="746">
        <v>0</v>
      </c>
      <c r="P139" s="80"/>
    </row>
    <row r="140" spans="1:58" ht="15" customHeight="1">
      <c r="A140" s="194">
        <f>+A139+1</f>
        <v>78</v>
      </c>
      <c r="B140" s="721" t="s">
        <v>80</v>
      </c>
      <c r="C140" s="195"/>
      <c r="D140" s="196" t="s">
        <v>169</v>
      </c>
      <c r="E140" s="197" t="s">
        <v>63</v>
      </c>
      <c r="F140" s="199"/>
      <c r="G140" s="199"/>
      <c r="H140" s="746">
        <v>0</v>
      </c>
      <c r="P140" s="80"/>
    </row>
    <row r="141" spans="1:58" ht="15" customHeight="1">
      <c r="A141" s="194">
        <f>+A140+1</f>
        <v>79</v>
      </c>
      <c r="B141" s="772" t="s">
        <v>80</v>
      </c>
      <c r="C141" s="496"/>
      <c r="D141" s="211" t="s">
        <v>850</v>
      </c>
      <c r="E141" s="497" t="s">
        <v>60</v>
      </c>
      <c r="F141" s="199"/>
      <c r="G141" s="199"/>
      <c r="H141" s="746"/>
      <c r="P141" s="80"/>
    </row>
    <row r="142" spans="1:58" ht="15" customHeight="1" thickBot="1">
      <c r="A142" s="194"/>
      <c r="B142" s="195"/>
      <c r="C142" s="195"/>
      <c r="D142" s="196"/>
      <c r="E142" s="197"/>
      <c r="F142" s="199"/>
      <c r="G142" s="199"/>
      <c r="H142" s="746"/>
      <c r="P142" s="80"/>
    </row>
    <row r="143" spans="1:58" ht="15" customHeight="1" thickBot="1">
      <c r="A143" s="755"/>
      <c r="B143" s="756" t="s">
        <v>57</v>
      </c>
      <c r="C143" s="756"/>
      <c r="D143" s="757" t="str">
        <f>CONCATENATE(B135," ",D135)</f>
        <v>P Vnitřní dveře a schody</v>
      </c>
      <c r="E143" s="758"/>
      <c r="F143" s="759"/>
      <c r="G143" s="759"/>
      <c r="H143" s="749">
        <v>37600</v>
      </c>
      <c r="P143" s="80"/>
    </row>
    <row r="144" spans="1:58" ht="15" customHeight="1">
      <c r="F144" s="68"/>
      <c r="P144" s="80"/>
    </row>
    <row r="145" spans="1:58" ht="15" customHeight="1">
      <c r="A145" s="766" t="s">
        <v>56</v>
      </c>
      <c r="B145" s="767" t="s">
        <v>843</v>
      </c>
      <c r="C145" s="767"/>
      <c r="D145" s="768" t="s">
        <v>844</v>
      </c>
      <c r="E145" s="769"/>
      <c r="F145" s="770"/>
      <c r="G145" s="770"/>
      <c r="H145" s="771"/>
      <c r="P145" s="80"/>
    </row>
    <row r="146" spans="1:58" ht="15" customHeight="1">
      <c r="A146" s="194">
        <v>82</v>
      </c>
      <c r="B146" s="721" t="s">
        <v>80</v>
      </c>
      <c r="C146" s="195"/>
      <c r="D146" s="196" t="s">
        <v>866</v>
      </c>
      <c r="E146" s="197" t="s">
        <v>75</v>
      </c>
      <c r="F146" s="199"/>
      <c r="G146" s="199"/>
      <c r="H146" s="746">
        <v>0</v>
      </c>
      <c r="P146" s="80"/>
      <c r="BB146" s="81"/>
      <c r="BC146" s="81"/>
      <c r="BD146" s="81"/>
      <c r="BE146" s="81"/>
      <c r="BF146" s="81"/>
    </row>
    <row r="147" spans="1:58">
      <c r="A147" s="194">
        <f>A146+1</f>
        <v>83</v>
      </c>
      <c r="B147" s="721" t="s">
        <v>80</v>
      </c>
      <c r="C147" s="195"/>
      <c r="D147" s="196" t="s">
        <v>865</v>
      </c>
      <c r="E147" s="197" t="s">
        <v>75</v>
      </c>
      <c r="F147" s="199"/>
      <c r="G147" s="199"/>
      <c r="H147" s="746">
        <v>0</v>
      </c>
    </row>
    <row r="148" spans="1:58">
      <c r="A148" s="194">
        <f>A147+1</f>
        <v>84</v>
      </c>
      <c r="B148" s="721" t="s">
        <v>80</v>
      </c>
      <c r="C148" s="195"/>
      <c r="D148" s="196" t="s">
        <v>867</v>
      </c>
      <c r="E148" s="197" t="s">
        <v>75</v>
      </c>
      <c r="F148" s="199"/>
      <c r="G148" s="199"/>
      <c r="H148" s="746">
        <v>0</v>
      </c>
    </row>
    <row r="149" spans="1:58" ht="13.8" thickBot="1">
      <c r="A149" s="194">
        <f>A148+1</f>
        <v>85</v>
      </c>
      <c r="B149" s="721" t="s">
        <v>80</v>
      </c>
      <c r="C149" s="195"/>
      <c r="D149" s="196" t="s">
        <v>868</v>
      </c>
      <c r="E149" s="197" t="s">
        <v>75</v>
      </c>
      <c r="F149" s="199"/>
      <c r="G149" s="199"/>
      <c r="H149" s="746">
        <v>0</v>
      </c>
    </row>
    <row r="150" spans="1:58" ht="13.8" thickBot="1">
      <c r="A150" s="755"/>
      <c r="B150" s="756" t="s">
        <v>57</v>
      </c>
      <c r="C150" s="756"/>
      <c r="D150" s="757" t="str">
        <f>CONCATENATE(B145," ",D145)</f>
        <v>Q Přípojky</v>
      </c>
      <c r="E150" s="758"/>
      <c r="F150" s="759"/>
      <c r="G150" s="759"/>
      <c r="H150" s="749">
        <v>0</v>
      </c>
      <c r="I150" s="358">
        <f>H143+H133+H128+H112+H98+H89+H79+H75+H70+H60+H49+H40+H32+H17+H10</f>
        <v>2561664.8339565601</v>
      </c>
    </row>
    <row r="151" spans="1:58">
      <c r="F151" s="68"/>
    </row>
    <row r="152" spans="1:58">
      <c r="F152" s="68"/>
    </row>
    <row r="153" spans="1:58">
      <c r="F153" s="68"/>
    </row>
    <row r="154" spans="1:58">
      <c r="F154" s="68"/>
    </row>
    <row r="155" spans="1:58">
      <c r="F155" s="68"/>
    </row>
    <row r="156" spans="1:58">
      <c r="F156" s="68"/>
    </row>
    <row r="157" spans="1:58">
      <c r="F157" s="68"/>
    </row>
    <row r="158" spans="1:58">
      <c r="F158" s="68"/>
    </row>
    <row r="159" spans="1:58">
      <c r="F159" s="68"/>
    </row>
    <row r="160" spans="1:58">
      <c r="F160" s="68"/>
    </row>
    <row r="161" spans="1:8">
      <c r="F161" s="68"/>
    </row>
    <row r="162" spans="1:8">
      <c r="F162" s="68"/>
    </row>
    <row r="163" spans="1:8">
      <c r="F163" s="68"/>
    </row>
    <row r="164" spans="1:8">
      <c r="F164" s="68"/>
    </row>
    <row r="165" spans="1:8">
      <c r="F165" s="68"/>
    </row>
    <row r="166" spans="1:8">
      <c r="F166" s="68"/>
    </row>
    <row r="167" spans="1:8">
      <c r="A167" s="82"/>
      <c r="B167" s="82"/>
      <c r="C167" s="82"/>
      <c r="D167" s="82"/>
      <c r="E167" s="82"/>
      <c r="F167" s="82"/>
      <c r="G167" s="82"/>
      <c r="H167" s="751"/>
    </row>
    <row r="168" spans="1:8">
      <c r="A168" s="82"/>
      <c r="B168" s="82"/>
      <c r="C168" s="82"/>
      <c r="D168" s="82"/>
      <c r="E168" s="82"/>
      <c r="F168" s="82"/>
      <c r="G168" s="82"/>
      <c r="H168" s="751"/>
    </row>
    <row r="169" spans="1:8">
      <c r="A169" s="82"/>
      <c r="B169" s="82"/>
      <c r="C169" s="82"/>
      <c r="D169" s="82"/>
      <c r="E169" s="82"/>
      <c r="F169" s="82"/>
      <c r="G169" s="82"/>
      <c r="H169" s="751"/>
    </row>
    <row r="170" spans="1:8">
      <c r="A170" s="82"/>
      <c r="B170" s="82"/>
      <c r="C170" s="82"/>
      <c r="D170" s="82"/>
      <c r="E170" s="82"/>
      <c r="F170" s="82"/>
      <c r="G170" s="82"/>
      <c r="H170" s="751"/>
    </row>
    <row r="171" spans="1:8">
      <c r="F171" s="68"/>
    </row>
    <row r="172" spans="1:8">
      <c r="F172" s="68"/>
    </row>
    <row r="173" spans="1:8">
      <c r="F173" s="68"/>
    </row>
    <row r="174" spans="1:8">
      <c r="F174" s="68"/>
    </row>
    <row r="175" spans="1:8">
      <c r="F175" s="68"/>
    </row>
    <row r="176" spans="1:8">
      <c r="F176" s="68"/>
    </row>
    <row r="177" spans="6:6">
      <c r="F177" s="68"/>
    </row>
    <row r="178" spans="6:6">
      <c r="F178" s="68"/>
    </row>
    <row r="179" spans="6:6">
      <c r="F179" s="68"/>
    </row>
    <row r="180" spans="6:6">
      <c r="F180" s="68"/>
    </row>
    <row r="181" spans="6:6">
      <c r="F181" s="68"/>
    </row>
    <row r="182" spans="6:6">
      <c r="F182" s="68"/>
    </row>
    <row r="183" spans="6:6">
      <c r="F183" s="68"/>
    </row>
    <row r="184" spans="6:6">
      <c r="F184" s="68"/>
    </row>
    <row r="185" spans="6:6">
      <c r="F185" s="68"/>
    </row>
    <row r="186" spans="6:6">
      <c r="F186" s="68"/>
    </row>
    <row r="187" spans="6:6">
      <c r="F187" s="68"/>
    </row>
    <row r="188" spans="6:6">
      <c r="F188" s="68"/>
    </row>
    <row r="189" spans="6:6">
      <c r="F189" s="68"/>
    </row>
    <row r="190" spans="6:6">
      <c r="F190" s="68"/>
    </row>
    <row r="191" spans="6:6">
      <c r="F191" s="68"/>
    </row>
    <row r="192" spans="6:6">
      <c r="F192" s="68"/>
    </row>
    <row r="193" spans="1:8">
      <c r="F193" s="68"/>
    </row>
    <row r="194" spans="1:8">
      <c r="F194" s="68"/>
    </row>
    <row r="195" spans="1:8">
      <c r="F195" s="68"/>
    </row>
    <row r="196" spans="1:8">
      <c r="F196" s="68"/>
    </row>
    <row r="197" spans="1:8">
      <c r="F197" s="68"/>
    </row>
    <row r="198" spans="1:8">
      <c r="F198" s="68"/>
    </row>
    <row r="199" spans="1:8">
      <c r="F199" s="68"/>
    </row>
    <row r="200" spans="1:8">
      <c r="F200" s="68"/>
    </row>
    <row r="201" spans="1:8">
      <c r="F201" s="68"/>
    </row>
    <row r="202" spans="1:8">
      <c r="A202" s="83"/>
      <c r="B202" s="83"/>
      <c r="C202" s="83"/>
    </row>
    <row r="203" spans="1:8">
      <c r="A203" s="82"/>
      <c r="B203" s="82"/>
      <c r="C203" s="82"/>
      <c r="D203" s="84"/>
      <c r="E203" s="84"/>
      <c r="F203" s="85"/>
      <c r="G203" s="84"/>
      <c r="H203" s="752"/>
    </row>
    <row r="204" spans="1:8">
      <c r="A204" s="87"/>
      <c r="B204" s="87"/>
      <c r="C204" s="87"/>
      <c r="D204" s="82"/>
      <c r="E204" s="82"/>
      <c r="F204" s="88"/>
      <c r="G204" s="82"/>
      <c r="H204" s="751"/>
    </row>
    <row r="205" spans="1:8">
      <c r="A205" s="82"/>
      <c r="B205" s="82"/>
      <c r="C205" s="82"/>
      <c r="D205" s="82"/>
      <c r="E205" s="82"/>
      <c r="F205" s="88"/>
      <c r="G205" s="82"/>
      <c r="H205" s="751"/>
    </row>
    <row r="206" spans="1:8">
      <c r="A206" s="82"/>
      <c r="B206" s="82"/>
      <c r="C206" s="82"/>
      <c r="D206" s="82"/>
      <c r="E206" s="82"/>
      <c r="F206" s="88"/>
      <c r="G206" s="82"/>
      <c r="H206" s="751"/>
    </row>
    <row r="207" spans="1:8">
      <c r="A207" s="82"/>
      <c r="B207" s="82"/>
      <c r="C207" s="82"/>
      <c r="D207" s="82"/>
      <c r="E207" s="82"/>
      <c r="F207" s="88"/>
      <c r="G207" s="82"/>
      <c r="H207" s="751"/>
    </row>
    <row r="208" spans="1:8">
      <c r="A208" s="82"/>
      <c r="B208" s="82"/>
      <c r="C208" s="82"/>
      <c r="D208" s="82"/>
      <c r="E208" s="82"/>
      <c r="F208" s="88"/>
      <c r="G208" s="82"/>
      <c r="H208" s="751"/>
    </row>
    <row r="209" spans="1:8">
      <c r="A209" s="82"/>
      <c r="B209" s="82"/>
      <c r="C209" s="82"/>
      <c r="D209" s="82"/>
      <c r="E209" s="82"/>
      <c r="F209" s="88"/>
      <c r="G209" s="82"/>
      <c r="H209" s="751"/>
    </row>
    <row r="210" spans="1:8">
      <c r="A210" s="82"/>
      <c r="B210" s="82"/>
      <c r="C210" s="82"/>
      <c r="D210" s="82"/>
      <c r="E210" s="82"/>
      <c r="F210" s="88"/>
      <c r="G210" s="82"/>
      <c r="H210" s="751"/>
    </row>
    <row r="211" spans="1:8">
      <c r="A211" s="82"/>
      <c r="B211" s="82"/>
      <c r="C211" s="82"/>
      <c r="D211" s="82"/>
      <c r="E211" s="82"/>
      <c r="F211" s="88"/>
      <c r="G211" s="82"/>
      <c r="H211" s="751"/>
    </row>
    <row r="212" spans="1:8">
      <c r="A212" s="82"/>
      <c r="B212" s="82"/>
      <c r="C212" s="82"/>
      <c r="D212" s="82"/>
      <c r="E212" s="82"/>
      <c r="F212" s="88"/>
      <c r="G212" s="82"/>
      <c r="H212" s="751"/>
    </row>
    <row r="213" spans="1:8">
      <c r="A213" s="82"/>
      <c r="B213" s="82"/>
      <c r="C213" s="82"/>
      <c r="D213" s="82"/>
      <c r="E213" s="82"/>
      <c r="F213" s="88"/>
      <c r="G213" s="82"/>
      <c r="H213" s="751"/>
    </row>
    <row r="214" spans="1:8">
      <c r="A214" s="82"/>
      <c r="B214" s="82"/>
      <c r="C214" s="82"/>
      <c r="D214" s="82"/>
      <c r="E214" s="82"/>
      <c r="F214" s="88"/>
      <c r="G214" s="82"/>
      <c r="H214" s="751"/>
    </row>
    <row r="215" spans="1:8">
      <c r="A215" s="82"/>
      <c r="B215" s="82"/>
      <c r="C215" s="82"/>
      <c r="D215" s="82"/>
      <c r="E215" s="82"/>
      <c r="F215" s="88"/>
      <c r="G215" s="82"/>
      <c r="H215" s="751"/>
    </row>
    <row r="216" spans="1:8">
      <c r="A216" s="82"/>
      <c r="B216" s="82"/>
      <c r="C216" s="82"/>
      <c r="D216" s="82"/>
      <c r="E216" s="82"/>
      <c r="F216" s="88"/>
      <c r="G216" s="82"/>
      <c r="H216" s="751"/>
    </row>
  </sheetData>
  <mergeCells count="4">
    <mergeCell ref="A1:H1"/>
    <mergeCell ref="A3:B3"/>
    <mergeCell ref="A4:B4"/>
    <mergeCell ref="F4:H4"/>
  </mergeCells>
  <pageMargins left="0.49" right="0.48" top="0.57999999999999996" bottom="0.57999999999999996" header="0.3" footer="0.3"/>
  <pageSetup paperSize="9" orientation="portrait" horizontalDpi="1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26" sqref="R26"/>
    </sheetView>
  </sheetViews>
  <sheetFormatPr defaultRowHeight="13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8:K37"/>
  <sheetViews>
    <sheetView showGridLines="0" workbookViewId="0">
      <selection activeCell="J24" sqref="J24"/>
    </sheetView>
  </sheetViews>
  <sheetFormatPr defaultRowHeight="13.2"/>
  <cols>
    <col min="7" max="7" width="24.88671875" customWidth="1"/>
  </cols>
  <sheetData>
    <row r="8" spans="1:11" hidden="1"/>
    <row r="9" spans="1:11" ht="17.399999999999999">
      <c r="B9" s="892" t="s">
        <v>884</v>
      </c>
      <c r="C9" s="892"/>
      <c r="D9" s="892"/>
      <c r="E9" s="892"/>
      <c r="F9" s="892"/>
      <c r="G9" s="892"/>
      <c r="H9" s="892"/>
    </row>
    <row r="10" spans="1:11" hidden="1"/>
    <row r="11" spans="1:11" hidden="1"/>
    <row r="13" spans="1:11" ht="17.399999999999999">
      <c r="A13" s="903" t="s">
        <v>753</v>
      </c>
      <c r="B13" s="903"/>
      <c r="C13" s="903"/>
      <c r="D13" s="903"/>
      <c r="E13" s="903"/>
      <c r="F13" s="903"/>
      <c r="G13" s="903"/>
      <c r="H13" s="903"/>
      <c r="I13" s="857"/>
      <c r="J13" s="857"/>
      <c r="K13" s="857"/>
    </row>
    <row r="14" spans="1:11" hidden="1">
      <c r="C14" s="904"/>
      <c r="D14" s="904"/>
      <c r="E14" s="904"/>
      <c r="F14" s="904"/>
      <c r="G14" s="858"/>
    </row>
    <row r="16" spans="1:11" ht="13.8" thickBot="1">
      <c r="A16" s="395" t="s">
        <v>872</v>
      </c>
      <c r="B16" s="899" t="s">
        <v>936</v>
      </c>
      <c r="C16" s="899"/>
      <c r="D16" s="899"/>
      <c r="E16" s="395" t="s">
        <v>873</v>
      </c>
      <c r="F16" s="900" t="s">
        <v>937</v>
      </c>
      <c r="G16" s="899"/>
      <c r="H16" s="899"/>
      <c r="I16" s="899"/>
    </row>
    <row r="17" spans="1:8" hidden="1"/>
    <row r="18" spans="1:8" hidden="1"/>
    <row r="19" spans="1:8" ht="13.8" hidden="1" thickBot="1"/>
    <row r="20" spans="1:8" ht="13.8" thickBot="1">
      <c r="A20" s="893" t="s">
        <v>141</v>
      </c>
      <c r="B20" s="894"/>
      <c r="C20" s="894"/>
      <c r="D20" s="894"/>
      <c r="E20" s="894"/>
      <c r="F20" s="894"/>
      <c r="G20" s="894"/>
      <c r="H20" s="895"/>
    </row>
    <row r="21" spans="1:8" ht="75" customHeight="1" thickBot="1">
      <c r="A21" s="854">
        <v>1</v>
      </c>
      <c r="B21" s="896" t="s">
        <v>876</v>
      </c>
      <c r="C21" s="897"/>
      <c r="D21" s="897"/>
      <c r="E21" s="897"/>
      <c r="F21" s="898"/>
      <c r="G21" s="901">
        <f>'Položky sumář'!H10</f>
        <v>0</v>
      </c>
      <c r="H21" s="902"/>
    </row>
    <row r="22" spans="1:8" ht="11.25" customHeight="1" thickBot="1"/>
    <row r="23" spans="1:8" ht="13.8" thickBot="1">
      <c r="A23" s="893" t="s">
        <v>883</v>
      </c>
      <c r="B23" s="894"/>
      <c r="C23" s="894"/>
      <c r="D23" s="894"/>
      <c r="E23" s="894"/>
      <c r="F23" s="894"/>
      <c r="G23" s="894"/>
      <c r="H23" s="895"/>
    </row>
    <row r="24" spans="1:8" ht="109.5" customHeight="1" thickBot="1">
      <c r="A24" s="854">
        <v>2</v>
      </c>
      <c r="B24" s="914" t="s">
        <v>877</v>
      </c>
      <c r="C24" s="915"/>
      <c r="D24" s="915"/>
      <c r="E24" s="915"/>
      <c r="F24" s="916"/>
      <c r="G24" s="908">
        <f>'Položky sumář'!H17+'Položky sumář'!H32+'Položky sumář'!H40+'Položky sumář'!H49+'Položky sumář'!H60+'Položky sumář'!H70+'Položky sumář'!H75+'Položky sumář'!H79+'Položky sumář'!H89+'Položky sumář'!H133+'Rozpočet-sumář'!I26+'Rozpočet-sumář'!I33</f>
        <v>1593185.5032428598</v>
      </c>
      <c r="H24" s="909"/>
    </row>
    <row r="25" spans="1:8" ht="8.25" customHeight="1" thickBot="1"/>
    <row r="26" spans="1:8" ht="13.8" thickBot="1">
      <c r="A26" s="905" t="s">
        <v>879</v>
      </c>
      <c r="B26" s="906"/>
      <c r="C26" s="906"/>
      <c r="D26" s="906"/>
      <c r="E26" s="906"/>
      <c r="F26" s="906"/>
      <c r="G26" s="906"/>
      <c r="H26" s="907"/>
    </row>
    <row r="27" spans="1:8" ht="48.75" customHeight="1" thickBot="1">
      <c r="A27" s="854">
        <v>3</v>
      </c>
      <c r="B27" s="896" t="s">
        <v>874</v>
      </c>
      <c r="C27" s="897"/>
      <c r="D27" s="897"/>
      <c r="E27" s="897"/>
      <c r="F27" s="898"/>
      <c r="G27" s="908">
        <f>'Položky sumář'!H98</f>
        <v>48412</v>
      </c>
      <c r="H27" s="909"/>
    </row>
    <row r="28" spans="1:8" ht="13.8" thickBot="1"/>
    <row r="29" spans="1:8" ht="13.8" thickBot="1">
      <c r="A29" s="905" t="s">
        <v>878</v>
      </c>
      <c r="B29" s="906"/>
      <c r="C29" s="906"/>
      <c r="D29" s="906"/>
      <c r="E29" s="906"/>
      <c r="F29" s="906"/>
      <c r="G29" s="906"/>
      <c r="H29" s="907"/>
    </row>
    <row r="30" spans="1:8" ht="37.5" customHeight="1" thickBot="1">
      <c r="A30" s="854">
        <v>4</v>
      </c>
      <c r="B30" s="917" t="s">
        <v>875</v>
      </c>
      <c r="C30" s="918"/>
      <c r="D30" s="918"/>
      <c r="E30" s="918"/>
      <c r="F30" s="919"/>
      <c r="G30" s="908">
        <f>'Položky sumář'!H112</f>
        <v>33349.4</v>
      </c>
      <c r="H30" s="913"/>
    </row>
    <row r="31" spans="1:8" ht="13.8" thickBot="1"/>
    <row r="32" spans="1:8" ht="13.8" thickBot="1">
      <c r="A32" s="905" t="s">
        <v>880</v>
      </c>
      <c r="B32" s="906"/>
      <c r="C32" s="906"/>
      <c r="D32" s="906"/>
      <c r="E32" s="906"/>
      <c r="F32" s="906"/>
      <c r="G32" s="906"/>
      <c r="H32" s="907"/>
    </row>
    <row r="33" spans="1:8" ht="89.25" customHeight="1" thickBot="1">
      <c r="A33" s="854">
        <v>5</v>
      </c>
      <c r="B33" s="910" t="s">
        <v>885</v>
      </c>
      <c r="C33" s="911"/>
      <c r="D33" s="911"/>
      <c r="E33" s="911"/>
      <c r="F33" s="912"/>
      <c r="G33" s="908">
        <f>'Položky sumář'!H128+'Položky sumář'!H143</f>
        <v>100419.38</v>
      </c>
      <c r="H33" s="913"/>
    </row>
    <row r="34" spans="1:8" ht="13.8" thickBot="1">
      <c r="A34" s="856"/>
      <c r="B34" s="855"/>
      <c r="C34" s="855"/>
      <c r="D34" s="855"/>
      <c r="E34" s="855"/>
      <c r="F34" s="855"/>
      <c r="G34" s="899"/>
      <c r="H34" s="899"/>
    </row>
    <row r="35" spans="1:8" ht="15.75" customHeight="1">
      <c r="A35" s="931" t="s">
        <v>799</v>
      </c>
      <c r="B35" s="932"/>
      <c r="C35" s="932"/>
      <c r="D35" s="932"/>
      <c r="E35" s="932"/>
      <c r="F35" s="933"/>
      <c r="G35" s="929">
        <f>G24+G27+G30+G33+G21</f>
        <v>1775366.2832428599</v>
      </c>
      <c r="H35" s="930"/>
    </row>
    <row r="36" spans="1:8">
      <c r="A36" s="920" t="s">
        <v>881</v>
      </c>
      <c r="B36" s="921"/>
      <c r="C36" s="921"/>
      <c r="D36" s="921"/>
      <c r="E36" s="921"/>
      <c r="F36" s="922"/>
      <c r="G36" s="926">
        <f>Zaklad5/100*15</f>
        <v>266304.90000000002</v>
      </c>
      <c r="H36" s="927"/>
    </row>
    <row r="37" spans="1:8" ht="24" customHeight="1" thickBot="1">
      <c r="A37" s="923" t="s">
        <v>882</v>
      </c>
      <c r="B37" s="924"/>
      <c r="C37" s="924"/>
      <c r="D37" s="924"/>
      <c r="E37" s="924"/>
      <c r="F37" s="925"/>
      <c r="G37" s="928">
        <f>G35+G36</f>
        <v>2041671.1832428598</v>
      </c>
      <c r="H37" s="925"/>
    </row>
  </sheetData>
  <mergeCells count="27">
    <mergeCell ref="G34:H34"/>
    <mergeCell ref="A36:F36"/>
    <mergeCell ref="A37:F37"/>
    <mergeCell ref="G36:H36"/>
    <mergeCell ref="G37:H37"/>
    <mergeCell ref="G35:H35"/>
    <mergeCell ref="A35:F35"/>
    <mergeCell ref="A29:H29"/>
    <mergeCell ref="G27:H27"/>
    <mergeCell ref="A23:H23"/>
    <mergeCell ref="B33:F33"/>
    <mergeCell ref="G30:H30"/>
    <mergeCell ref="G33:H33"/>
    <mergeCell ref="B24:F24"/>
    <mergeCell ref="G24:H24"/>
    <mergeCell ref="A26:H26"/>
    <mergeCell ref="B27:F27"/>
    <mergeCell ref="B30:F30"/>
    <mergeCell ref="A32:H32"/>
    <mergeCell ref="B9:H9"/>
    <mergeCell ref="A20:H20"/>
    <mergeCell ref="B21:F21"/>
    <mergeCell ref="B16:D16"/>
    <mergeCell ref="F16:I16"/>
    <mergeCell ref="G21:H21"/>
    <mergeCell ref="A13:H13"/>
    <mergeCell ref="C14:F14"/>
  </mergeCells>
  <phoneticPr fontId="2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1" enableFormatConditionsCalculation="0">
    <tabColor indexed="10"/>
  </sheetPr>
  <dimension ref="A1:BB56"/>
  <sheetViews>
    <sheetView topLeftCell="A4" workbookViewId="0">
      <selection activeCell="I19" sqref="I19"/>
    </sheetView>
  </sheetViews>
  <sheetFormatPr defaultRowHeight="13.2"/>
  <cols>
    <col min="1" max="1" width="16" customWidth="1"/>
    <col min="2" max="2" width="17.88671875" customWidth="1"/>
    <col min="3" max="3" width="15.88671875" customWidth="1"/>
    <col min="4" max="4" width="14.5546875" customWidth="1"/>
    <col min="5" max="5" width="16.33203125" customWidth="1"/>
    <col min="6" max="6" width="16.5546875" customWidth="1"/>
    <col min="7" max="7" width="14" customWidth="1"/>
  </cols>
  <sheetData>
    <row r="1" spans="1:54" s="6" customFormat="1"/>
    <row r="2" spans="1:54" s="6" customFormat="1" ht="48" customHeight="1">
      <c r="A2" s="408"/>
    </row>
    <row r="3" spans="1:54" s="6" customFormat="1" ht="24" customHeight="1">
      <c r="A3" s="320" t="s">
        <v>466</v>
      </c>
    </row>
    <row r="4" spans="1:54" s="6" customFormat="1">
      <c r="A4" s="321" t="s">
        <v>925</v>
      </c>
    </row>
    <row r="5" spans="1:54" s="6" customFormat="1">
      <c r="A5" s="773"/>
    </row>
    <row r="6" spans="1:54" s="6" customFormat="1">
      <c r="A6" s="773" t="s">
        <v>774</v>
      </c>
    </row>
    <row r="7" spans="1:54" ht="21.75" customHeight="1">
      <c r="A7" s="49" t="s">
        <v>0</v>
      </c>
      <c r="B7" s="322"/>
      <c r="C7" s="322"/>
      <c r="D7" s="322"/>
      <c r="E7" s="322"/>
      <c r="F7" s="322"/>
      <c r="G7" s="322"/>
    </row>
    <row r="8" spans="1:54" ht="15" customHeight="1" thickBot="1">
      <c r="A8" s="155"/>
      <c r="B8" s="155"/>
      <c r="C8" s="6"/>
      <c r="D8" s="6"/>
      <c r="E8" s="6"/>
      <c r="F8" s="6"/>
      <c r="G8" s="6"/>
    </row>
    <row r="9" spans="1:54" ht="15.75" customHeight="1" thickBot="1">
      <c r="A9" s="2" t="s">
        <v>1</v>
      </c>
      <c r="B9" s="409"/>
      <c r="C9" s="275" t="s">
        <v>2</v>
      </c>
      <c r="D9" s="275"/>
      <c r="E9" s="275"/>
      <c r="F9" s="275"/>
      <c r="G9" s="401" t="s">
        <v>514</v>
      </c>
    </row>
    <row r="10" spans="1:54" ht="12.9" customHeight="1">
      <c r="A10" s="5"/>
      <c r="B10" s="325"/>
      <c r="C10" s="276" t="s">
        <v>170</v>
      </c>
      <c r="D10" s="277"/>
      <c r="E10" s="277"/>
      <c r="F10" s="277"/>
      <c r="G10" s="278"/>
    </row>
    <row r="11" spans="1:54" ht="12.9" customHeight="1">
      <c r="A11" s="8" t="s">
        <v>4</v>
      </c>
      <c r="B11" s="326"/>
      <c r="C11" s="279" t="s">
        <v>5</v>
      </c>
      <c r="D11" s="481" t="str">
        <f>zákazník!B16</f>
        <v>2x2+ KK</v>
      </c>
      <c r="E11" s="481" t="str">
        <f>Investor!D2</f>
        <v>dle podkladů</v>
      </c>
      <c r="F11" s="280"/>
      <c r="G11" s="281"/>
    </row>
    <row r="12" spans="1:54" ht="12.9" customHeight="1">
      <c r="A12" s="5"/>
      <c r="B12" s="325" t="s">
        <v>387</v>
      </c>
      <c r="C12" s="276" t="s">
        <v>58</v>
      </c>
      <c r="D12" s="319" t="s">
        <v>464</v>
      </c>
      <c r="E12" s="319" t="s">
        <v>648</v>
      </c>
      <c r="F12" s="399"/>
      <c r="G12" s="278"/>
    </row>
    <row r="13" spans="1:54">
      <c r="A13" s="8" t="s">
        <v>6</v>
      </c>
      <c r="B13" s="327"/>
      <c r="C13" s="934"/>
      <c r="D13" s="935"/>
      <c r="E13" s="282"/>
      <c r="F13" s="283"/>
      <c r="G13" s="284"/>
    </row>
    <row r="14" spans="1:54">
      <c r="A14" s="18" t="s">
        <v>7</v>
      </c>
      <c r="B14" s="328"/>
      <c r="C14" s="277"/>
      <c r="D14" s="277"/>
      <c r="E14" s="285" t="s">
        <v>8</v>
      </c>
      <c r="F14" s="277" t="s">
        <v>443</v>
      </c>
      <c r="G14" s="278"/>
      <c r="H14" s="173"/>
      <c r="AX14" s="20"/>
      <c r="AY14" s="20"/>
      <c r="AZ14" s="20"/>
      <c r="BA14" s="20"/>
      <c r="BB14" s="20"/>
    </row>
    <row r="15" spans="1:54" ht="13.8" thickBot="1">
      <c r="A15" s="153"/>
      <c r="B15" s="329"/>
      <c r="C15" s="330"/>
      <c r="D15" s="330"/>
      <c r="E15" s="936" t="s">
        <v>935</v>
      </c>
      <c r="F15" s="937"/>
      <c r="G15" s="938"/>
    </row>
    <row r="16" spans="1:54" ht="28.5" customHeight="1" thickBot="1">
      <c r="A16" s="331" t="s">
        <v>9</v>
      </c>
      <c r="B16" s="323"/>
      <c r="C16" s="323"/>
      <c r="D16" s="323"/>
      <c r="E16" s="324"/>
      <c r="F16" s="332"/>
      <c r="G16" s="333"/>
    </row>
    <row r="17" spans="1:7" ht="17.25" customHeight="1" thickBot="1">
      <c r="A17" s="21" t="s">
        <v>10</v>
      </c>
      <c r="B17" s="22"/>
      <c r="C17" s="23"/>
      <c r="D17" s="24" t="s">
        <v>11</v>
      </c>
      <c r="E17" s="25"/>
      <c r="F17" s="25"/>
      <c r="G17" s="23"/>
    </row>
    <row r="18" spans="1:7" ht="15.9" customHeight="1">
      <c r="A18" s="334"/>
      <c r="B18" s="335" t="s">
        <v>12</v>
      </c>
      <c r="C18" s="336">
        <f>Dodavka</f>
        <v>0</v>
      </c>
      <c r="D18" s="29" t="str">
        <f>'Rozpočet-sumář'!A27</f>
        <v>Ztížené výrobní podmínky</v>
      </c>
      <c r="E18" s="30"/>
      <c r="F18" s="31"/>
      <c r="G18" s="336">
        <v>0</v>
      </c>
    </row>
    <row r="19" spans="1:7" ht="15.9" customHeight="1" thickBot="1">
      <c r="A19" s="26" t="s">
        <v>13</v>
      </c>
      <c r="B19" s="6" t="s">
        <v>14</v>
      </c>
      <c r="C19" s="174">
        <f>Mont</f>
        <v>0</v>
      </c>
      <c r="D19" s="14" t="str">
        <f>'Rozpočet-sumář'!A28</f>
        <v>Oborová přirážka</v>
      </c>
      <c r="E19" s="32"/>
      <c r="F19" s="33"/>
      <c r="G19" s="28">
        <f>'Rozpočet-sumář'!I28</f>
        <v>0</v>
      </c>
    </row>
    <row r="20" spans="1:7" ht="15.9" customHeight="1" thickBot="1">
      <c r="A20" s="175" t="s">
        <v>15</v>
      </c>
      <c r="B20" s="176" t="s">
        <v>16</v>
      </c>
      <c r="C20" s="177">
        <f>HSV</f>
        <v>1449138.3322608601</v>
      </c>
      <c r="D20" s="14" t="str">
        <f>'Rozpočet-sumář'!A29</f>
        <v>Přesun stavebních kapacit</v>
      </c>
      <c r="E20" s="32"/>
      <c r="F20" s="33"/>
      <c r="G20" s="28">
        <f>'Rozpočet-sumář'!I29</f>
        <v>0</v>
      </c>
    </row>
    <row r="21" spans="1:7" ht="15.9" customHeight="1" thickBot="1">
      <c r="A21" s="287" t="s">
        <v>17</v>
      </c>
      <c r="B21" s="288" t="s">
        <v>154</v>
      </c>
      <c r="C21" s="289">
        <f>PSV</f>
        <v>286312.58</v>
      </c>
      <c r="D21" s="14" t="str">
        <f>'Rozpočet-sumář'!A30</f>
        <v>Mimostaveništní doprava</v>
      </c>
      <c r="E21" s="32"/>
      <c r="F21" s="33"/>
      <c r="G21" s="28">
        <f>'Rozpočet-sumář'!I30</f>
        <v>0</v>
      </c>
    </row>
    <row r="22" spans="1:7" ht="15.9" customHeight="1">
      <c r="A22" s="34" t="s">
        <v>18</v>
      </c>
      <c r="B22" s="27"/>
      <c r="C22" s="28">
        <f>SUM(C18:C21)</f>
        <v>1735450.9122608602</v>
      </c>
      <c r="D22" s="35" t="str">
        <f>'Rozpočet-sumář'!A31</f>
        <v>Zařízení staveniště</v>
      </c>
      <c r="E22" s="32"/>
      <c r="F22" s="33" t="s">
        <v>451</v>
      </c>
      <c r="G22" s="28">
        <f>'Rozpočet-sumář'!I26</f>
        <v>27767.214596173762</v>
      </c>
    </row>
    <row r="23" spans="1:7" ht="15.9" customHeight="1">
      <c r="A23" s="34"/>
      <c r="B23" s="27"/>
      <c r="C23" s="28"/>
      <c r="D23" s="14" t="str">
        <f>'Rozpočet-sumář'!A32</f>
        <v>Provoz investora</v>
      </c>
      <c r="E23" s="32"/>
      <c r="F23" s="33"/>
      <c r="G23" s="28">
        <f>'Rozpočet-sumář'!I32</f>
        <v>0</v>
      </c>
    </row>
    <row r="24" spans="1:7" ht="15.9" customHeight="1">
      <c r="A24" s="34" t="s">
        <v>19</v>
      </c>
      <c r="B24" s="27"/>
      <c r="C24" s="28">
        <f>HZS</f>
        <v>0</v>
      </c>
      <c r="D24" s="14" t="str">
        <f>'Rozpočet-sumář'!A33</f>
        <v>Odpady</v>
      </c>
      <c r="E24" s="32"/>
      <c r="F24" s="33"/>
      <c r="G24" s="28">
        <f>'Rozpočet-sumář'!I33</f>
        <v>12148.156385826022</v>
      </c>
    </row>
    <row r="25" spans="1:7" ht="15.9" customHeight="1" thickBot="1">
      <c r="A25" s="18" t="s">
        <v>20</v>
      </c>
      <c r="B25" s="6"/>
      <c r="C25" s="28">
        <f>C22+C24</f>
        <v>1735450.9122608602</v>
      </c>
      <c r="D25" s="8" t="s">
        <v>21</v>
      </c>
      <c r="E25" s="223"/>
      <c r="F25" s="9" t="s">
        <v>452</v>
      </c>
      <c r="G25" s="174">
        <f>'Rozpočet-sumář'!I31</f>
        <v>0</v>
      </c>
    </row>
    <row r="26" spans="1:7" ht="15.9" customHeight="1" thickBot="1">
      <c r="A26" s="14" t="s">
        <v>22</v>
      </c>
      <c r="B26" s="15"/>
      <c r="C26" s="36">
        <f>C25+G26</f>
        <v>1775366.2832428599</v>
      </c>
      <c r="D26" s="293" t="s">
        <v>23</v>
      </c>
      <c r="E26" s="294"/>
      <c r="F26" s="295"/>
      <c r="G26" s="296">
        <f>G18+G19+G20+G21+G22+G23+G24+G25</f>
        <v>39915.370981999782</v>
      </c>
    </row>
    <row r="27" spans="1:7">
      <c r="A27" s="2" t="s">
        <v>24</v>
      </c>
      <c r="B27" s="3" t="s">
        <v>858</v>
      </c>
      <c r="C27" s="37" t="s">
        <v>25</v>
      </c>
      <c r="D27" s="3" t="s">
        <v>475</v>
      </c>
      <c r="E27" s="37" t="s">
        <v>26</v>
      </c>
      <c r="F27" s="3"/>
      <c r="G27" s="4"/>
    </row>
    <row r="28" spans="1:7">
      <c r="A28" s="8"/>
      <c r="B28" s="10"/>
      <c r="C28" s="11" t="s">
        <v>645</v>
      </c>
      <c r="D28" s="10"/>
      <c r="E28" s="11" t="s">
        <v>27</v>
      </c>
      <c r="F28" s="10"/>
      <c r="G28" s="12"/>
    </row>
    <row r="29" spans="1:7">
      <c r="A29" s="18" t="s">
        <v>28</v>
      </c>
      <c r="B29" s="680">
        <f ca="1">Investor!E2</f>
        <v>44599.641993171295</v>
      </c>
      <c r="C29" s="19" t="s">
        <v>28</v>
      </c>
      <c r="D29" s="680">
        <f ca="1">Investor!E2</f>
        <v>44599.641993171295</v>
      </c>
      <c r="E29" s="19" t="s">
        <v>28</v>
      </c>
      <c r="F29" s="6"/>
      <c r="G29" s="7"/>
    </row>
    <row r="30" spans="1:7">
      <c r="A30" s="18"/>
      <c r="B30" s="38"/>
      <c r="C30" s="19" t="s">
        <v>29</v>
      </c>
      <c r="D30" s="6"/>
      <c r="E30" s="19" t="s">
        <v>30</v>
      </c>
      <c r="F30" s="6"/>
      <c r="G30" s="7"/>
    </row>
    <row r="31" spans="1:7">
      <c r="A31" s="18"/>
      <c r="B31" s="6"/>
      <c r="C31" s="19"/>
      <c r="D31" s="6"/>
      <c r="E31" s="19"/>
      <c r="F31" s="6"/>
      <c r="G31" s="7"/>
    </row>
    <row r="32" spans="1:7" ht="36" customHeight="1">
      <c r="A32" s="18"/>
      <c r="B32" s="6"/>
      <c r="C32" s="19"/>
      <c r="D32" s="6"/>
      <c r="E32" s="19"/>
      <c r="F32" s="6"/>
      <c r="G32" s="7"/>
    </row>
    <row r="33" spans="1:9">
      <c r="A33" s="8" t="s">
        <v>31</v>
      </c>
      <c r="B33" s="10"/>
      <c r="C33" s="39"/>
      <c r="D33" s="10"/>
      <c r="E33" s="11"/>
      <c r="F33" s="40">
        <f>ROUND(C26-F35,0)</f>
        <v>1775366</v>
      </c>
      <c r="G33" s="12"/>
      <c r="H33" s="100">
        <f>+'Výkaz výměr'!N164</f>
        <v>68.06</v>
      </c>
      <c r="I33" t="s">
        <v>853</v>
      </c>
    </row>
    <row r="34" spans="1:9">
      <c r="A34" s="8" t="s">
        <v>33</v>
      </c>
      <c r="B34" s="10"/>
      <c r="C34" s="39">
        <v>15</v>
      </c>
      <c r="D34" s="10" t="s">
        <v>32</v>
      </c>
      <c r="E34" s="11"/>
      <c r="F34" s="41">
        <f>Zaklad5/100*15</f>
        <v>266304.90000000002</v>
      </c>
      <c r="G34" s="17"/>
      <c r="H34">
        <f>+(Zaklad5-'Položky sumář'!H9)/'Krycí list'!H33</f>
        <v>26085.307081986481</v>
      </c>
      <c r="I34" t="s">
        <v>854</v>
      </c>
    </row>
    <row r="35" spans="1:9">
      <c r="A35" s="8"/>
      <c r="B35" s="10"/>
      <c r="C35" s="39"/>
      <c r="D35" s="10"/>
      <c r="E35" s="11"/>
      <c r="F35" s="828"/>
      <c r="G35" s="12"/>
    </row>
    <row r="36" spans="1:9" s="42" customFormat="1" ht="19.5" customHeight="1" thickBot="1">
      <c r="A36" s="297" t="s">
        <v>34</v>
      </c>
      <c r="B36" s="298"/>
      <c r="C36" s="298"/>
      <c r="D36" s="298"/>
      <c r="E36" s="299"/>
      <c r="F36" s="300">
        <f>CEILING(SUM(F33:F35),1)</f>
        <v>2041671</v>
      </c>
      <c r="G36" s="829"/>
    </row>
    <row r="37" spans="1:9" ht="12.75" customHeight="1" thickBot="1"/>
    <row r="38" spans="1:9" ht="12.75" customHeight="1">
      <c r="A38" s="238" t="s">
        <v>35</v>
      </c>
      <c r="B38" s="337" t="s">
        <v>515</v>
      </c>
      <c r="C38" s="402" t="s">
        <v>510</v>
      </c>
      <c r="D38" s="402"/>
      <c r="E38" s="402"/>
      <c r="F38" s="402"/>
      <c r="G38" s="403"/>
    </row>
    <row r="39" spans="1:9" ht="12.75" customHeight="1">
      <c r="A39" s="238"/>
      <c r="B39" s="240"/>
      <c r="C39" s="404" t="s">
        <v>511</v>
      </c>
      <c r="D39" s="404"/>
      <c r="E39" s="487" t="s">
        <v>512</v>
      </c>
      <c r="F39" s="488" t="s">
        <v>513</v>
      </c>
      <c r="G39" s="405"/>
    </row>
    <row r="40" spans="1:9" ht="12.75" customHeight="1">
      <c r="A40" s="238"/>
      <c r="B40" s="379"/>
      <c r="C40" s="380" t="s">
        <v>799</v>
      </c>
      <c r="D40" s="112" t="s">
        <v>800</v>
      </c>
      <c r="E40" s="113"/>
      <c r="F40" s="114"/>
      <c r="G40" s="406"/>
    </row>
    <row r="41" spans="1:9" ht="12.75" customHeight="1">
      <c r="A41" s="239"/>
      <c r="B41" s="240" t="s">
        <v>801</v>
      </c>
      <c r="C41" s="776">
        <f>+'Položky sumář'!H17+'Položky sumář'!H32+'Položky sumář'!H40+'Položky sumář'!H79</f>
        <v>848495.07426085998</v>
      </c>
      <c r="D41" s="776">
        <f>+C41*1.15</f>
        <v>975769.33539998892</v>
      </c>
      <c r="E41" s="113"/>
      <c r="F41" s="112"/>
      <c r="G41" s="241"/>
    </row>
    <row r="42" spans="1:9" ht="12.75" customHeight="1">
      <c r="A42" s="239"/>
      <c r="B42" s="240" t="s">
        <v>802</v>
      </c>
      <c r="C42" s="776">
        <f>+'Položky sumář'!H17+'Položky sumář'!H32+'Položky sumář'!H40+'Položky sumář'!H49+'Položky sumář'!H60+'Položky sumář'!H70+'Položky sumář'!H79+'Položky sumář'!H89+0.5*'Položky sumář'!H133+'Položky sumář'!H140</f>
        <v>1488932.0522608601</v>
      </c>
      <c r="D42" s="776">
        <f>+C42*1.15</f>
        <v>1712271.860099989</v>
      </c>
      <c r="E42" s="112"/>
      <c r="F42" s="484"/>
      <c r="G42" s="241"/>
    </row>
    <row r="43" spans="1:9" ht="12.75" customHeight="1">
      <c r="A43" s="239"/>
      <c r="B43" s="240" t="s">
        <v>803</v>
      </c>
      <c r="C43" s="776">
        <f>+Zaklad5</f>
        <v>1775366</v>
      </c>
      <c r="D43" s="776">
        <f>+C43*1.15</f>
        <v>2041670.9</v>
      </c>
      <c r="E43" s="112"/>
      <c r="F43" s="484"/>
      <c r="G43" s="241"/>
    </row>
    <row r="44" spans="1:9" ht="12.75" customHeight="1">
      <c r="A44" s="239"/>
      <c r="B44" s="229"/>
      <c r="C44" s="113"/>
      <c r="D44" s="380"/>
      <c r="E44" s="112"/>
      <c r="F44" s="484"/>
      <c r="G44" s="241"/>
    </row>
    <row r="45" spans="1:9" ht="12.75" customHeight="1" thickBot="1">
      <c r="A45" s="239"/>
      <c r="B45" s="242"/>
      <c r="C45" s="234"/>
      <c r="D45" s="244"/>
      <c r="E45" s="243"/>
      <c r="F45" s="485"/>
      <c r="G45" s="486"/>
    </row>
    <row r="46" spans="1:9" ht="12.75" customHeight="1">
      <c r="A46" s="43"/>
      <c r="D46" s="100"/>
      <c r="E46" s="20"/>
    </row>
    <row r="47" spans="1:9" ht="17.25" customHeight="1">
      <c r="A47" s="713" t="s">
        <v>708</v>
      </c>
      <c r="D47" s="100"/>
    </row>
    <row r="48" spans="1:9" ht="15.6">
      <c r="A48" s="830" t="s">
        <v>845</v>
      </c>
      <c r="D48" s="100"/>
    </row>
    <row r="49" spans="1:6">
      <c r="D49" s="100"/>
    </row>
    <row r="50" spans="1:6" ht="15.6">
      <c r="A50" s="714"/>
      <c r="E50" s="20"/>
      <c r="F50" s="100"/>
    </row>
    <row r="51" spans="1:6" ht="15.6">
      <c r="A51" s="713" t="s">
        <v>710</v>
      </c>
      <c r="D51" s="100"/>
    </row>
    <row r="52" spans="1:6" ht="15.6">
      <c r="A52" s="830" t="s">
        <v>846</v>
      </c>
    </row>
    <row r="54" spans="1:6" ht="15.6">
      <c r="A54" s="701"/>
    </row>
    <row r="55" spans="1:6" ht="15.6">
      <c r="A55" s="713" t="s">
        <v>714</v>
      </c>
    </row>
    <row r="56" spans="1:6" ht="15.6">
      <c r="A56" s="830" t="s">
        <v>715</v>
      </c>
    </row>
  </sheetData>
  <mergeCells count="2">
    <mergeCell ref="C13:D13"/>
    <mergeCell ref="E15:G15"/>
  </mergeCells>
  <phoneticPr fontId="0" type="noConversion"/>
  <hyperlinks>
    <hyperlink ref="A6" r:id="rId1"/>
  </hyperlinks>
  <pageMargins left="0.41" right="0.39" top="0.61" bottom="0.61" header="0.51181102362204722" footer="0.51181102362204722"/>
  <pageSetup paperSize="9" scale="87" orientation="portrait" horizontalDpi="300" verticalDpi="300" r:id="rId2"/>
  <headerFooter alignWithMargins="0">
    <oddFooter>Strana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1" enableFormatConditionsCalculation="0">
    <tabColor indexed="10"/>
  </sheetPr>
  <dimension ref="A1:BE86"/>
  <sheetViews>
    <sheetView workbookViewId="0">
      <selection activeCell="M31" sqref="M31"/>
    </sheetView>
  </sheetViews>
  <sheetFormatPr defaultRowHeight="13.2"/>
  <cols>
    <col min="1" max="1" width="5.88671875" customWidth="1"/>
    <col min="2" max="2" width="6.109375" customWidth="1"/>
    <col min="3" max="3" width="11.44140625" customWidth="1"/>
    <col min="4" max="4" width="15.88671875" customWidth="1"/>
    <col min="5" max="5" width="11.33203125" customWidth="1"/>
    <col min="6" max="6" width="10.88671875" customWidth="1"/>
    <col min="7" max="7" width="11" customWidth="1"/>
    <col min="8" max="8" width="11.109375" customWidth="1"/>
    <col min="9" max="9" width="10.6640625" customWidth="1"/>
  </cols>
  <sheetData>
    <row r="1" spans="1:9">
      <c r="A1" s="941" t="s">
        <v>4</v>
      </c>
      <c r="B1" s="941"/>
      <c r="C1" s="865" t="str">
        <f>'Krycí list'!D11</f>
        <v>2x2+ KK</v>
      </c>
      <c r="D1" s="82"/>
      <c r="E1" s="88"/>
      <c r="F1" s="82"/>
      <c r="G1" s="93" t="s">
        <v>36</v>
      </c>
      <c r="H1" s="319" t="str">
        <f>Investor!D2</f>
        <v>dle podkladů</v>
      </c>
      <c r="I1" s="400"/>
    </row>
    <row r="2" spans="1:9">
      <c r="A2" s="941"/>
      <c r="B2" s="941"/>
      <c r="C2" s="407"/>
      <c r="D2" s="82"/>
      <c r="E2" s="319"/>
      <c r="F2" s="400"/>
      <c r="G2" s="942"/>
      <c r="H2" s="942"/>
      <c r="I2" s="942"/>
    </row>
    <row r="3" spans="1:9" ht="19.5" customHeight="1">
      <c r="A3" s="48"/>
      <c r="B3" s="1"/>
      <c r="C3" s="1" t="s">
        <v>509</v>
      </c>
      <c r="D3" s="1"/>
      <c r="E3" s="49"/>
      <c r="F3" s="1"/>
      <c r="G3" s="1"/>
      <c r="H3" s="1"/>
      <c r="I3" s="1"/>
    </row>
    <row r="4" spans="1:9" ht="13.8" thickBot="1"/>
    <row r="5" spans="1:9" s="6" customFormat="1" ht="13.8" thickBot="1">
      <c r="A5" s="50"/>
      <c r="B5" s="51" t="s">
        <v>37</v>
      </c>
      <c r="C5" s="51"/>
      <c r="D5" s="52"/>
      <c r="E5" s="257" t="s">
        <v>38</v>
      </c>
      <c r="F5" s="255" t="s">
        <v>153</v>
      </c>
      <c r="G5" s="53" t="s">
        <v>39</v>
      </c>
      <c r="H5" s="53" t="s">
        <v>40</v>
      </c>
      <c r="I5" s="54" t="s">
        <v>19</v>
      </c>
    </row>
    <row r="6" spans="1:9" s="6" customFormat="1" ht="13.8" thickBot="1">
      <c r="A6" s="375" t="s">
        <v>140</v>
      </c>
      <c r="B6" s="376" t="s">
        <v>141</v>
      </c>
      <c r="C6" s="376"/>
      <c r="D6" s="377"/>
      <c r="E6" s="378"/>
      <c r="F6" s="833">
        <f>+'Položky sumář'!H10</f>
        <v>0</v>
      </c>
      <c r="G6" s="832"/>
      <c r="H6" s="373"/>
      <c r="I6" s="374"/>
    </row>
    <row r="7" spans="1:9" s="6" customFormat="1">
      <c r="A7" s="89" t="s">
        <v>117</v>
      </c>
      <c r="B7" s="55" t="s">
        <v>118</v>
      </c>
      <c r="D7" s="56"/>
      <c r="E7" s="258">
        <f>+'Položky sumář'!H17</f>
        <v>234357.19443199999</v>
      </c>
      <c r="F7" s="90">
        <v>0</v>
      </c>
      <c r="G7" s="91">
        <v>0</v>
      </c>
      <c r="H7" s="91">
        <v>0</v>
      </c>
      <c r="I7" s="831">
        <v>0</v>
      </c>
    </row>
    <row r="8" spans="1:9" s="6" customFormat="1">
      <c r="A8" s="89" t="s">
        <v>119</v>
      </c>
      <c r="B8" s="55" t="s">
        <v>796</v>
      </c>
      <c r="D8" s="56"/>
      <c r="E8" s="259">
        <f>+'Položky sumář'!H32+'Položky sumář'!H40</f>
        <v>583888.80206639995</v>
      </c>
      <c r="F8" s="90">
        <v>0</v>
      </c>
      <c r="G8" s="91">
        <v>0</v>
      </c>
      <c r="H8" s="91">
        <v>0</v>
      </c>
      <c r="I8" s="831">
        <v>0</v>
      </c>
    </row>
    <row r="9" spans="1:9" s="6" customFormat="1">
      <c r="A9" s="89" t="s">
        <v>121</v>
      </c>
      <c r="B9" s="55" t="s">
        <v>122</v>
      </c>
      <c r="D9" s="56"/>
      <c r="E9" s="259">
        <f>+'Položky sumář'!H49</f>
        <v>152203.24</v>
      </c>
      <c r="F9" s="90">
        <v>0</v>
      </c>
      <c r="G9" s="91">
        <v>0</v>
      </c>
      <c r="H9" s="91">
        <v>0</v>
      </c>
      <c r="I9" s="831">
        <v>0</v>
      </c>
    </row>
    <row r="10" spans="1:9" s="6" customFormat="1">
      <c r="A10" s="89" t="s">
        <v>123</v>
      </c>
      <c r="B10" s="55" t="s">
        <v>148</v>
      </c>
      <c r="D10" s="56"/>
      <c r="E10" s="259">
        <f>+'Položky sumář'!H60</f>
        <v>239513.87400000001</v>
      </c>
      <c r="F10" s="90">
        <v>0</v>
      </c>
      <c r="G10" s="91">
        <v>0</v>
      </c>
      <c r="H10" s="91">
        <v>0</v>
      </c>
      <c r="I10" s="831">
        <v>0</v>
      </c>
    </row>
    <row r="11" spans="1:9" s="6" customFormat="1">
      <c r="A11" s="89" t="s">
        <v>124</v>
      </c>
      <c r="B11" s="55" t="s">
        <v>147</v>
      </c>
      <c r="D11" s="56"/>
      <c r="E11" s="259">
        <f>+'Položky sumář'!H70</f>
        <v>185424.06400000001</v>
      </c>
      <c r="F11" s="90">
        <v>0</v>
      </c>
      <c r="G11" s="91">
        <v>0</v>
      </c>
      <c r="H11" s="91">
        <v>0</v>
      </c>
      <c r="I11" s="831">
        <v>0</v>
      </c>
    </row>
    <row r="12" spans="1:9" s="6" customFormat="1">
      <c r="A12" s="94" t="s">
        <v>128</v>
      </c>
      <c r="B12" s="55" t="s">
        <v>136</v>
      </c>
      <c r="C12" s="55"/>
      <c r="D12" s="56"/>
      <c r="E12" s="259">
        <f>+'Položky sumář'!H75</f>
        <v>23502.080000000002</v>
      </c>
      <c r="F12" s="90">
        <v>0</v>
      </c>
      <c r="G12" s="91">
        <v>0</v>
      </c>
      <c r="H12" s="91">
        <v>0</v>
      </c>
      <c r="I12" s="831">
        <v>0</v>
      </c>
    </row>
    <row r="13" spans="1:9" s="6" customFormat="1" ht="13.8" thickBot="1">
      <c r="A13" s="94" t="s">
        <v>130</v>
      </c>
      <c r="B13" s="55" t="s">
        <v>108</v>
      </c>
      <c r="C13" s="55"/>
      <c r="D13" s="56"/>
      <c r="E13" s="260">
        <f>+'Položky sumář'!H79</f>
        <v>30249.077762460001</v>
      </c>
      <c r="F13" s="90">
        <v>0</v>
      </c>
      <c r="G13" s="91">
        <v>0</v>
      </c>
      <c r="H13" s="91">
        <v>0</v>
      </c>
      <c r="I13" s="831">
        <v>0</v>
      </c>
    </row>
    <row r="14" spans="1:9" s="6" customFormat="1">
      <c r="A14" s="94" t="s">
        <v>151</v>
      </c>
      <c r="B14" s="55" t="s">
        <v>125</v>
      </c>
      <c r="C14" s="55"/>
      <c r="D14" s="56"/>
      <c r="E14" s="256">
        <v>0</v>
      </c>
      <c r="F14" s="290">
        <f>+'Položky sumář'!H89</f>
        <v>22459.8</v>
      </c>
      <c r="G14" s="90">
        <v>0</v>
      </c>
      <c r="H14" s="91">
        <v>0</v>
      </c>
      <c r="I14" s="831">
        <v>0</v>
      </c>
    </row>
    <row r="15" spans="1:9" s="6" customFormat="1">
      <c r="A15" s="94" t="s">
        <v>132</v>
      </c>
      <c r="B15" s="55" t="s">
        <v>126</v>
      </c>
      <c r="C15" s="55"/>
      <c r="D15" s="56"/>
      <c r="E15" s="256">
        <v>0</v>
      </c>
      <c r="F15" s="291">
        <f>+'Položky sumář'!H98</f>
        <v>48412</v>
      </c>
      <c r="G15" s="90">
        <v>0</v>
      </c>
      <c r="H15" s="91">
        <v>0</v>
      </c>
      <c r="I15" s="831">
        <v>0</v>
      </c>
    </row>
    <row r="16" spans="1:9" s="6" customFormat="1">
      <c r="A16" s="94" t="s">
        <v>152</v>
      </c>
      <c r="B16" s="55" t="s">
        <v>129</v>
      </c>
      <c r="C16" s="55"/>
      <c r="D16" s="56"/>
      <c r="E16" s="256">
        <v>0</v>
      </c>
      <c r="F16" s="291">
        <f>+'Položky sumář'!H112</f>
        <v>33349.4</v>
      </c>
      <c r="G16" s="90">
        <v>0</v>
      </c>
      <c r="H16" s="91">
        <v>0</v>
      </c>
      <c r="I16" s="831">
        <v>0</v>
      </c>
    </row>
    <row r="17" spans="1:57" s="6" customFormat="1">
      <c r="A17" s="94" t="s">
        <v>17</v>
      </c>
      <c r="B17" s="55" t="s">
        <v>131</v>
      </c>
      <c r="C17" s="55"/>
      <c r="D17" s="56"/>
      <c r="E17" s="256">
        <v>0</v>
      </c>
      <c r="F17" s="291">
        <f>+'Položky sumář'!H128</f>
        <v>62819.380000000005</v>
      </c>
      <c r="G17" s="90">
        <v>0</v>
      </c>
      <c r="H17" s="91">
        <v>0</v>
      </c>
      <c r="I17" s="831">
        <v>0</v>
      </c>
    </row>
    <row r="18" spans="1:57" s="6" customFormat="1">
      <c r="A18" s="94" t="s">
        <v>135</v>
      </c>
      <c r="B18" s="55" t="s">
        <v>133</v>
      </c>
      <c r="C18" s="55"/>
      <c r="D18" s="56"/>
      <c r="E18" s="256">
        <v>0</v>
      </c>
      <c r="F18" s="291">
        <f>+'Položky sumář'!H133</f>
        <v>81672</v>
      </c>
      <c r="G18" s="90">
        <v>0</v>
      </c>
      <c r="H18" s="91">
        <v>0</v>
      </c>
      <c r="I18" s="831">
        <v>0</v>
      </c>
    </row>
    <row r="19" spans="1:57" s="6" customFormat="1">
      <c r="A19" s="94" t="s">
        <v>137</v>
      </c>
      <c r="B19" s="55" t="s">
        <v>134</v>
      </c>
      <c r="C19" s="55"/>
      <c r="D19" s="56"/>
      <c r="E19" s="256">
        <v>0</v>
      </c>
      <c r="F19" s="291">
        <f>+'Položky sumář'!H143</f>
        <v>37600</v>
      </c>
      <c r="G19" s="90">
        <v>0</v>
      </c>
      <c r="H19" s="91">
        <v>0</v>
      </c>
      <c r="I19" s="831">
        <v>0</v>
      </c>
    </row>
    <row r="20" spans="1:57" s="6" customFormat="1" ht="13.8" thickBot="1">
      <c r="A20" s="94" t="s">
        <v>15</v>
      </c>
      <c r="B20" s="55" t="s">
        <v>844</v>
      </c>
      <c r="C20" s="55"/>
      <c r="D20" s="56"/>
      <c r="E20" s="256"/>
      <c r="F20" s="292">
        <f>'Položky sumář'!H150</f>
        <v>0</v>
      </c>
      <c r="G20" s="90"/>
      <c r="H20" s="91"/>
      <c r="I20" s="831"/>
    </row>
    <row r="21" spans="1:57" s="63" customFormat="1" ht="13.8" thickBot="1">
      <c r="A21" s="57"/>
      <c r="B21" s="58" t="s">
        <v>41</v>
      </c>
      <c r="C21" s="58"/>
      <c r="D21" s="59"/>
      <c r="E21" s="60">
        <f>SUM(E6:E19)</f>
        <v>1449138.3322608601</v>
      </c>
      <c r="F21" s="849">
        <f>SUM(F7:F20)+F6</f>
        <v>286312.58</v>
      </c>
      <c r="G21" s="61">
        <f>SUM(G7:G19)</f>
        <v>0</v>
      </c>
      <c r="H21" s="61">
        <f>SUM(H7:H19)</f>
        <v>0</v>
      </c>
      <c r="I21" s="62">
        <f>SUM(I7:I19)</f>
        <v>0</v>
      </c>
    </row>
    <row r="22" spans="1:57">
      <c r="A22" s="6"/>
      <c r="B22" s="6"/>
      <c r="C22" s="6"/>
      <c r="D22" s="6"/>
      <c r="E22" s="6"/>
      <c r="F22" s="6"/>
      <c r="G22" s="6"/>
      <c r="H22" s="6"/>
      <c r="I22" s="6"/>
    </row>
    <row r="23" spans="1:57" ht="19.5" customHeight="1">
      <c r="A23" s="1" t="s">
        <v>42</v>
      </c>
      <c r="B23" s="1"/>
      <c r="C23" s="1"/>
      <c r="D23" s="1"/>
      <c r="E23" s="1"/>
      <c r="F23" s="1"/>
      <c r="G23" s="64"/>
      <c r="H23" s="1"/>
      <c r="I23" s="1"/>
      <c r="BA23" s="20"/>
      <c r="BB23" s="20"/>
      <c r="BC23" s="20"/>
      <c r="BD23" s="20"/>
      <c r="BE23" s="20"/>
    </row>
    <row r="24" spans="1:57" ht="13.8" thickBot="1"/>
    <row r="25" spans="1:57">
      <c r="A25" s="347" t="s">
        <v>43</v>
      </c>
      <c r="B25" s="348"/>
      <c r="C25" s="348"/>
      <c r="D25" s="349"/>
      <c r="E25" s="350" t="s">
        <v>44</v>
      </c>
      <c r="F25" s="351" t="s">
        <v>45</v>
      </c>
      <c r="G25" s="352" t="s">
        <v>46</v>
      </c>
      <c r="H25" s="353"/>
      <c r="I25" s="354" t="s">
        <v>44</v>
      </c>
    </row>
    <row r="26" spans="1:57">
      <c r="A26" s="263" t="s">
        <v>157</v>
      </c>
      <c r="B26" s="264"/>
      <c r="C26" s="264"/>
      <c r="D26" s="265"/>
      <c r="E26" s="266">
        <v>0</v>
      </c>
      <c r="F26" s="267">
        <v>1.6</v>
      </c>
      <c r="G26" s="268">
        <f>CHOOSE(BA26+1,HSV+PSV,HSV+PSV+Mont,HSV+PSV+Dodavka+Mont,HSV,PSV,Mont,Dodavka,Mont+Dodavka,0)</f>
        <v>1735450.9122608602</v>
      </c>
      <c r="H26" s="355"/>
      <c r="I26" s="356">
        <f t="shared" ref="I26:I33" si="0">E26+F26*G26/100</f>
        <v>27767.214596173762</v>
      </c>
    </row>
    <row r="27" spans="1:57">
      <c r="A27" s="263" t="s">
        <v>110</v>
      </c>
      <c r="B27" s="264"/>
      <c r="C27" s="264"/>
      <c r="D27" s="265"/>
      <c r="E27" s="266">
        <v>0</v>
      </c>
      <c r="F27" s="267">
        <v>0</v>
      </c>
      <c r="G27" s="268">
        <f t="shared" ref="G27:G34" si="1">CHOOSE(BA27+1,HSV+PSV,HSV+PSV+Mont,HSV+PSV+Dodavka+Mont,HSV,PSV,Mont,Dodavka,Mont+Dodavka,0)</f>
        <v>1735450.9122608602</v>
      </c>
      <c r="H27" s="355"/>
      <c r="I27" s="356">
        <v>0</v>
      </c>
    </row>
    <row r="28" spans="1:57">
      <c r="A28" s="263" t="s">
        <v>111</v>
      </c>
      <c r="B28" s="264"/>
      <c r="C28" s="264"/>
      <c r="D28" s="265"/>
      <c r="E28" s="266">
        <v>0</v>
      </c>
      <c r="F28" s="267">
        <v>0</v>
      </c>
      <c r="G28" s="268">
        <f t="shared" si="1"/>
        <v>1735450.9122608602</v>
      </c>
      <c r="H28" s="355"/>
      <c r="I28" s="356">
        <f t="shared" si="0"/>
        <v>0</v>
      </c>
    </row>
    <row r="29" spans="1:57">
      <c r="A29" s="263" t="s">
        <v>112</v>
      </c>
      <c r="B29" s="264"/>
      <c r="C29" s="264"/>
      <c r="D29" s="265"/>
      <c r="E29" s="266">
        <v>0</v>
      </c>
      <c r="F29" s="267">
        <v>0</v>
      </c>
      <c r="G29" s="268">
        <f t="shared" si="1"/>
        <v>1735450.9122608602</v>
      </c>
      <c r="H29" s="355"/>
      <c r="I29" s="356">
        <f t="shared" si="0"/>
        <v>0</v>
      </c>
    </row>
    <row r="30" spans="1:57">
      <c r="A30" s="263" t="s">
        <v>113</v>
      </c>
      <c r="B30" s="264"/>
      <c r="C30" s="264"/>
      <c r="D30" s="265"/>
      <c r="E30" s="266">
        <v>0</v>
      </c>
      <c r="F30" s="267">
        <v>0</v>
      </c>
      <c r="G30" s="268">
        <f t="shared" si="1"/>
        <v>1735450.9122608602</v>
      </c>
      <c r="H30" s="355"/>
      <c r="I30" s="356">
        <f t="shared" si="0"/>
        <v>0</v>
      </c>
    </row>
    <row r="31" spans="1:57">
      <c r="A31" s="263" t="s">
        <v>114</v>
      </c>
      <c r="B31" s="264"/>
      <c r="C31" s="264"/>
      <c r="D31" s="265"/>
      <c r="E31" s="266">
        <v>0</v>
      </c>
      <c r="F31" s="267">
        <v>0</v>
      </c>
      <c r="G31" s="268">
        <f t="shared" si="1"/>
        <v>1735450.9122608602</v>
      </c>
      <c r="H31" s="355"/>
      <c r="I31" s="356">
        <f t="shared" si="0"/>
        <v>0</v>
      </c>
    </row>
    <row r="32" spans="1:57">
      <c r="A32" s="263" t="s">
        <v>115</v>
      </c>
      <c r="B32" s="264"/>
      <c r="C32" s="264"/>
      <c r="D32" s="265"/>
      <c r="E32" s="266">
        <v>0</v>
      </c>
      <c r="F32" s="267">
        <v>0</v>
      </c>
      <c r="G32" s="268">
        <f t="shared" si="1"/>
        <v>1735450.9122608602</v>
      </c>
      <c r="H32" s="355"/>
      <c r="I32" s="356">
        <f t="shared" si="0"/>
        <v>0</v>
      </c>
    </row>
    <row r="33" spans="1:10">
      <c r="A33" s="263" t="s">
        <v>722</v>
      </c>
      <c r="B33" s="264"/>
      <c r="C33" s="264"/>
      <c r="D33" s="265"/>
      <c r="E33" s="266">
        <v>0</v>
      </c>
      <c r="F33" s="267">
        <v>0.7</v>
      </c>
      <c r="G33" s="268">
        <f t="shared" si="1"/>
        <v>1735450.9122608602</v>
      </c>
      <c r="H33" s="355"/>
      <c r="I33" s="356">
        <f t="shared" si="0"/>
        <v>12148.156385826022</v>
      </c>
    </row>
    <row r="34" spans="1:10">
      <c r="A34" s="263" t="s">
        <v>116</v>
      </c>
      <c r="B34" s="264"/>
      <c r="C34" s="264"/>
      <c r="D34" s="265"/>
      <c r="E34" s="266">
        <v>0</v>
      </c>
      <c r="F34" s="267">
        <v>0</v>
      </c>
      <c r="G34" s="268">
        <f t="shared" si="1"/>
        <v>1735450.9122608602</v>
      </c>
      <c r="H34" s="355"/>
      <c r="I34" s="356">
        <v>0</v>
      </c>
    </row>
    <row r="35" spans="1:10" ht="13.8" thickBot="1">
      <c r="A35" s="269"/>
      <c r="B35" s="270" t="s">
        <v>47</v>
      </c>
      <c r="C35" s="271"/>
      <c r="D35" s="272"/>
      <c r="E35" s="273"/>
      <c r="F35" s="274"/>
      <c r="G35" s="274"/>
      <c r="H35" s="939">
        <f>SUM(I26:I34)</f>
        <v>39915.370981999782</v>
      </c>
      <c r="I35" s="940"/>
      <c r="J35">
        <f>HSV+VRN</f>
        <v>1489053.7032428598</v>
      </c>
    </row>
    <row r="37" spans="1:10">
      <c r="B37" s="63"/>
      <c r="F37" s="65"/>
      <c r="G37" s="66"/>
      <c r="H37" s="66"/>
      <c r="I37" s="67"/>
    </row>
    <row r="38" spans="1:10" ht="17.399999999999999">
      <c r="A38" s="6"/>
      <c r="B38" s="6"/>
      <c r="C38" s="6"/>
      <c r="D38" s="247" t="s">
        <v>459</v>
      </c>
      <c r="E38" s="247"/>
      <c r="F38" s="248"/>
      <c r="G38" s="249"/>
      <c r="H38" s="249"/>
      <c r="I38" s="250"/>
    </row>
    <row r="39" spans="1:10" ht="13.8" thickBot="1">
      <c r="A39" s="6"/>
      <c r="B39" s="6"/>
      <c r="C39" s="6"/>
      <c r="D39" s="6"/>
      <c r="E39" s="6"/>
      <c r="F39" s="248"/>
      <c r="G39" s="249"/>
      <c r="H39" s="249"/>
      <c r="I39" s="250"/>
    </row>
    <row r="40" spans="1:10" ht="13.8" thickBot="1">
      <c r="A40" s="225" t="s">
        <v>467</v>
      </c>
      <c r="B40" s="226"/>
      <c r="C40" s="226"/>
      <c r="D40" s="226"/>
      <c r="E40" s="251"/>
      <c r="F40" s="253"/>
      <c r="G40" s="252" t="s">
        <v>461</v>
      </c>
      <c r="H40" s="227"/>
      <c r="I40" s="228"/>
    </row>
    <row r="41" spans="1:10" ht="13.8" thickBot="1">
      <c r="A41" s="229" t="s">
        <v>468</v>
      </c>
      <c r="B41" s="113"/>
      <c r="C41" s="113"/>
      <c r="D41" s="113"/>
      <c r="E41" s="16"/>
      <c r="F41" s="286"/>
      <c r="G41" s="232" t="s">
        <v>460</v>
      </c>
      <c r="H41" s="224"/>
      <c r="I41" s="230"/>
    </row>
    <row r="42" spans="1:10" ht="13.8" thickBot="1">
      <c r="A42" s="229"/>
      <c r="B42" s="113"/>
      <c r="C42" s="113"/>
      <c r="D42" s="113"/>
      <c r="E42" s="113"/>
      <c r="F42" s="254"/>
      <c r="G42" s="224"/>
      <c r="H42" s="224"/>
      <c r="I42" s="230"/>
    </row>
    <row r="43" spans="1:10" ht="13.8" thickBot="1">
      <c r="A43" s="229" t="s">
        <v>816</v>
      </c>
      <c r="B43" s="113"/>
      <c r="C43" s="113"/>
      <c r="D43" s="113"/>
      <c r="E43" s="16"/>
      <c r="F43" s="231"/>
      <c r="G43" s="318"/>
      <c r="H43" s="224"/>
      <c r="I43" s="230"/>
      <c r="J43" s="6"/>
    </row>
    <row r="44" spans="1:10">
      <c r="A44" s="341" t="s">
        <v>485</v>
      </c>
      <c r="B44" s="210"/>
      <c r="C44" s="210"/>
      <c r="D44" s="210"/>
      <c r="E44" s="342"/>
      <c r="F44" s="343"/>
      <c r="G44" s="344"/>
      <c r="H44" s="345"/>
      <c r="I44" s="346"/>
    </row>
    <row r="45" spans="1:10">
      <c r="A45" s="229" t="s">
        <v>775</v>
      </c>
      <c r="B45" s="113"/>
      <c r="C45" s="113"/>
      <c r="D45" s="113"/>
      <c r="E45" s="113"/>
      <c r="F45" s="774"/>
      <c r="G45" s="224"/>
      <c r="H45" s="224"/>
      <c r="I45" s="230"/>
    </row>
    <row r="46" spans="1:10" ht="13.8" thickBot="1">
      <c r="A46" s="233" t="s">
        <v>462</v>
      </c>
      <c r="B46" s="234"/>
      <c r="C46" s="234"/>
      <c r="D46" s="234"/>
      <c r="E46" s="234"/>
      <c r="F46" s="246"/>
      <c r="G46" s="235"/>
      <c r="H46" s="235"/>
      <c r="I46" s="236"/>
    </row>
    <row r="47" spans="1:10">
      <c r="F47" s="65"/>
      <c r="G47" s="66"/>
      <c r="H47" s="66"/>
      <c r="I47" s="67"/>
    </row>
    <row r="48" spans="1:10">
      <c r="F48" s="65"/>
      <c r="G48" s="66"/>
      <c r="H48" s="66"/>
      <c r="I48" s="67"/>
    </row>
    <row r="49" spans="6:9">
      <c r="F49" s="65"/>
      <c r="G49" s="66"/>
      <c r="H49" s="66"/>
      <c r="I49" s="67"/>
    </row>
    <row r="50" spans="6:9">
      <c r="F50" s="65"/>
      <c r="G50" s="66"/>
      <c r="H50" s="66"/>
      <c r="I50" s="67"/>
    </row>
    <row r="51" spans="6:9">
      <c r="F51" s="65"/>
      <c r="G51" s="66"/>
      <c r="H51" s="66"/>
      <c r="I51" s="67"/>
    </row>
    <row r="52" spans="6:9">
      <c r="F52" s="65"/>
      <c r="G52" s="66"/>
      <c r="H52" s="66"/>
      <c r="I52" s="67"/>
    </row>
    <row r="53" spans="6:9">
      <c r="F53" s="65"/>
      <c r="G53" s="66"/>
      <c r="H53" s="66"/>
      <c r="I53" s="67"/>
    </row>
    <row r="54" spans="6:9">
      <c r="F54" s="65"/>
      <c r="G54" s="66"/>
      <c r="H54" s="66"/>
      <c r="I54" s="67"/>
    </row>
    <row r="55" spans="6:9">
      <c r="F55" s="65"/>
      <c r="G55" s="66"/>
      <c r="H55" s="66"/>
      <c r="I55" s="67"/>
    </row>
    <row r="56" spans="6:9">
      <c r="F56" s="65"/>
      <c r="G56" s="66"/>
      <c r="H56" s="66"/>
      <c r="I56" s="67"/>
    </row>
    <row r="57" spans="6:9">
      <c r="F57" s="65"/>
      <c r="G57" s="66"/>
      <c r="H57" s="66"/>
      <c r="I57" s="67"/>
    </row>
    <row r="58" spans="6:9">
      <c r="F58" s="65"/>
      <c r="G58" s="66"/>
      <c r="H58" s="66"/>
      <c r="I58" s="67"/>
    </row>
    <row r="59" spans="6:9">
      <c r="F59" s="65"/>
      <c r="G59" s="66"/>
      <c r="H59" s="66"/>
      <c r="I59" s="67"/>
    </row>
    <row r="60" spans="6:9">
      <c r="F60" s="65"/>
      <c r="G60" s="66"/>
      <c r="H60" s="66"/>
      <c r="I60" s="67"/>
    </row>
    <row r="61" spans="6:9">
      <c r="F61" s="65"/>
      <c r="G61" s="66"/>
      <c r="H61" s="66"/>
      <c r="I61" s="67"/>
    </row>
    <row r="62" spans="6:9">
      <c r="F62" s="65"/>
      <c r="G62" s="66"/>
      <c r="H62" s="66"/>
      <c r="I62" s="67"/>
    </row>
    <row r="63" spans="6:9">
      <c r="F63" s="65"/>
      <c r="G63" s="66"/>
      <c r="H63" s="66"/>
      <c r="I63" s="67"/>
    </row>
    <row r="64" spans="6:9">
      <c r="F64" s="65"/>
      <c r="G64" s="66"/>
      <c r="H64" s="66"/>
      <c r="I64" s="67"/>
    </row>
    <row r="65" spans="6:9">
      <c r="F65" s="65"/>
      <c r="G65" s="66"/>
      <c r="H65" s="66"/>
      <c r="I65" s="67"/>
    </row>
    <row r="66" spans="6:9">
      <c r="F66" s="65"/>
      <c r="G66" s="66"/>
      <c r="H66" s="66"/>
      <c r="I66" s="67"/>
    </row>
    <row r="67" spans="6:9">
      <c r="F67" s="65"/>
      <c r="G67" s="66"/>
      <c r="H67" s="66"/>
      <c r="I67" s="67"/>
    </row>
    <row r="68" spans="6:9">
      <c r="F68" s="65"/>
      <c r="G68" s="66"/>
      <c r="H68" s="66"/>
      <c r="I68" s="67"/>
    </row>
    <row r="69" spans="6:9">
      <c r="F69" s="65"/>
      <c r="G69" s="66"/>
      <c r="H69" s="66"/>
      <c r="I69" s="67"/>
    </row>
    <row r="70" spans="6:9">
      <c r="F70" s="65"/>
      <c r="G70" s="66"/>
      <c r="H70" s="66"/>
      <c r="I70" s="67"/>
    </row>
    <row r="71" spans="6:9">
      <c r="F71" s="65"/>
      <c r="G71" s="66"/>
      <c r="H71" s="66"/>
      <c r="I71" s="67"/>
    </row>
    <row r="72" spans="6:9">
      <c r="F72" s="65"/>
      <c r="G72" s="66"/>
      <c r="H72" s="66"/>
      <c r="I72" s="67"/>
    </row>
    <row r="73" spans="6:9">
      <c r="F73" s="65"/>
      <c r="G73" s="66"/>
      <c r="H73" s="66"/>
      <c r="I73" s="67"/>
    </row>
    <row r="74" spans="6:9">
      <c r="F74" s="65"/>
      <c r="G74" s="66"/>
      <c r="H74" s="66"/>
      <c r="I74" s="67"/>
    </row>
    <row r="75" spans="6:9">
      <c r="F75" s="65"/>
      <c r="G75" s="66"/>
      <c r="H75" s="66"/>
      <c r="I75" s="67"/>
    </row>
    <row r="76" spans="6:9">
      <c r="F76" s="65"/>
      <c r="G76" s="66"/>
      <c r="H76" s="66"/>
      <c r="I76" s="67"/>
    </row>
    <row r="77" spans="6:9">
      <c r="F77" s="65"/>
      <c r="G77" s="66"/>
      <c r="H77" s="66"/>
      <c r="I77" s="67"/>
    </row>
    <row r="78" spans="6:9">
      <c r="F78" s="65"/>
      <c r="G78" s="66"/>
      <c r="H78" s="66"/>
      <c r="I78" s="67"/>
    </row>
    <row r="79" spans="6:9">
      <c r="F79" s="65"/>
      <c r="G79" s="66"/>
      <c r="H79" s="66"/>
      <c r="I79" s="67"/>
    </row>
    <row r="80" spans="6:9">
      <c r="F80" s="65"/>
      <c r="G80" s="66"/>
      <c r="H80" s="66"/>
      <c r="I80" s="67"/>
    </row>
    <row r="81" spans="6:9">
      <c r="F81" s="65"/>
      <c r="G81" s="66"/>
      <c r="H81" s="66"/>
      <c r="I81" s="67"/>
    </row>
    <row r="82" spans="6:9">
      <c r="F82" s="65"/>
      <c r="G82" s="66"/>
      <c r="H82" s="66"/>
      <c r="I82" s="67"/>
    </row>
    <row r="83" spans="6:9">
      <c r="F83" s="65"/>
      <c r="G83" s="66"/>
      <c r="H83" s="66"/>
      <c r="I83" s="67"/>
    </row>
    <row r="84" spans="6:9">
      <c r="F84" s="65"/>
      <c r="G84" s="66"/>
      <c r="H84" s="66"/>
      <c r="I84" s="67"/>
    </row>
    <row r="85" spans="6:9">
      <c r="F85" s="65"/>
      <c r="G85" s="66"/>
      <c r="H85" s="66"/>
      <c r="I85" s="67"/>
    </row>
    <row r="86" spans="6:9">
      <c r="F86" s="65"/>
      <c r="G86" s="66"/>
      <c r="H86" s="66"/>
      <c r="I86" s="67"/>
    </row>
  </sheetData>
  <mergeCells count="4">
    <mergeCell ref="H35:I35"/>
    <mergeCell ref="A1:B1"/>
    <mergeCell ref="A2:B2"/>
    <mergeCell ref="G2:I2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BF216"/>
  <sheetViews>
    <sheetView topLeftCell="A121" workbookViewId="0">
      <selection activeCell="J135" sqref="J135"/>
    </sheetView>
  </sheetViews>
  <sheetFormatPr defaultColWidth="9.109375" defaultRowHeight="13.2"/>
  <cols>
    <col min="1" max="1" width="5.44140625" style="68" customWidth="1"/>
    <col min="2" max="2" width="13.44140625" style="68" customWidth="1"/>
    <col min="3" max="3" width="0.88671875" style="68" hidden="1" customWidth="1"/>
    <col min="4" max="4" width="41.6640625" style="68" customWidth="1"/>
    <col min="5" max="5" width="4.6640625" style="68" customWidth="1"/>
    <col min="6" max="6" width="7.6640625" style="77" customWidth="1"/>
    <col min="7" max="7" width="8.6640625" style="68" customWidth="1"/>
    <col min="8" max="8" width="13" style="750" customWidth="1"/>
    <col min="9" max="9" width="10.109375" style="68" bestFit="1" customWidth="1"/>
    <col min="10" max="10" width="11.6640625" style="68" bestFit="1" customWidth="1"/>
    <col min="11" max="12" width="9.109375" style="68"/>
    <col min="13" max="13" width="75.44140625" style="68" customWidth="1"/>
    <col min="14" max="16384" width="9.109375" style="68"/>
  </cols>
  <sheetData>
    <row r="1" spans="1:58" ht="15.6">
      <c r="A1" s="943" t="s">
        <v>753</v>
      </c>
      <c r="B1" s="943"/>
      <c r="C1" s="943"/>
      <c r="D1" s="943"/>
      <c r="E1" s="943"/>
      <c r="F1" s="943"/>
      <c r="G1" s="943"/>
      <c r="H1" s="943"/>
    </row>
    <row r="2" spans="1:58" ht="17.25" customHeight="1" thickBot="1">
      <c r="B2" s="69"/>
      <c r="C2" s="69"/>
      <c r="D2" s="70"/>
      <c r="E2" s="70"/>
      <c r="F2" s="71"/>
      <c r="G2" s="70"/>
      <c r="H2" s="70"/>
    </row>
    <row r="3" spans="1:58" ht="14.4" thickTop="1" thickBot="1">
      <c r="A3" s="944" t="s">
        <v>4</v>
      </c>
      <c r="B3" s="945"/>
      <c r="C3" s="109"/>
      <c r="D3" s="44" t="str">
        <f>zákazník!B16</f>
        <v>2x2+ KK</v>
      </c>
      <c r="E3" s="45"/>
      <c r="F3" s="72" t="s">
        <v>48</v>
      </c>
      <c r="G3" s="73" t="str">
        <f>Investor!D2</f>
        <v>dle podkladů</v>
      </c>
      <c r="H3" s="741"/>
    </row>
    <row r="4" spans="1:58" ht="13.8" thickBot="1">
      <c r="A4" s="946" t="s">
        <v>1</v>
      </c>
      <c r="B4" s="947"/>
      <c r="C4" s="110"/>
      <c r="D4" s="46" t="s">
        <v>526</v>
      </c>
      <c r="E4" s="47"/>
      <c r="F4" s="948" t="str">
        <f>+Investor!C7</f>
        <v>Petrák</v>
      </c>
      <c r="G4" s="949"/>
      <c r="H4" s="950"/>
    </row>
    <row r="5" spans="1:58" ht="9" customHeight="1" thickTop="1" thickBot="1">
      <c r="A5" s="75"/>
      <c r="B5" s="76"/>
      <c r="C5" s="76"/>
      <c r="D5" s="319"/>
      <c r="E5" s="399"/>
      <c r="H5" s="742"/>
    </row>
    <row r="6" spans="1:58" ht="15" customHeight="1" thickBot="1">
      <c r="A6" s="164" t="s">
        <v>49</v>
      </c>
      <c r="B6" s="165" t="s">
        <v>50</v>
      </c>
      <c r="C6" s="165"/>
      <c r="D6" s="165" t="s">
        <v>51</v>
      </c>
      <c r="E6" s="165" t="s">
        <v>52</v>
      </c>
      <c r="F6" s="166" t="s">
        <v>53</v>
      </c>
      <c r="G6" s="165" t="s">
        <v>54</v>
      </c>
      <c r="H6" s="743" t="s">
        <v>55</v>
      </c>
    </row>
    <row r="7" spans="1:58" ht="15" customHeight="1">
      <c r="A7" s="171"/>
      <c r="B7" s="170"/>
      <c r="C7" s="170"/>
      <c r="D7" s="170"/>
      <c r="E7" s="170"/>
      <c r="F7" s="172"/>
      <c r="G7" s="170"/>
      <c r="H7" s="744"/>
    </row>
    <row r="8" spans="1:58" ht="15" customHeight="1">
      <c r="A8" s="760" t="s">
        <v>56</v>
      </c>
      <c r="B8" s="761" t="s">
        <v>140</v>
      </c>
      <c r="C8" s="761"/>
      <c r="D8" s="762" t="s">
        <v>141</v>
      </c>
      <c r="E8" s="763"/>
      <c r="F8" s="764"/>
      <c r="G8" s="764"/>
      <c r="H8" s="765"/>
    </row>
    <row r="9" spans="1:58" ht="15" customHeight="1" thickBot="1">
      <c r="A9" s="724">
        <v>1</v>
      </c>
      <c r="B9" s="725"/>
      <c r="C9" s="725"/>
      <c r="D9" s="726" t="s">
        <v>849</v>
      </c>
      <c r="E9" s="727" t="s">
        <v>60</v>
      </c>
      <c r="F9" s="728">
        <v>0</v>
      </c>
      <c r="G9" s="728">
        <v>2380</v>
      </c>
      <c r="H9" s="745">
        <f>G9*F9</f>
        <v>0</v>
      </c>
      <c r="I9" s="79"/>
      <c r="J9" s="79"/>
      <c r="P9" s="80"/>
    </row>
    <row r="10" spans="1:58" ht="15" customHeight="1" thickBot="1">
      <c r="A10" s="734"/>
      <c r="B10" s="735" t="s">
        <v>545</v>
      </c>
      <c r="C10" s="735"/>
      <c r="D10" s="736" t="str">
        <f>CONCATENATE(B8," ",D8)</f>
        <v>A Základová deska</v>
      </c>
      <c r="E10" s="737"/>
      <c r="F10" s="738"/>
      <c r="G10" s="738"/>
      <c r="H10" s="739">
        <f>H9</f>
        <v>0</v>
      </c>
      <c r="L10" s="93"/>
      <c r="P10" s="80"/>
    </row>
    <row r="11" spans="1:58" ht="15" customHeight="1">
      <c r="A11" s="163"/>
      <c r="B11" s="180"/>
      <c r="C11" s="180"/>
      <c r="D11" s="179"/>
      <c r="E11" s="163"/>
      <c r="F11" s="178"/>
      <c r="G11" s="178"/>
      <c r="H11" s="181"/>
      <c r="P11" s="80"/>
      <c r="BB11" s="81"/>
      <c r="BC11" s="81"/>
      <c r="BD11" s="81"/>
      <c r="BE11" s="81"/>
      <c r="BF11" s="81"/>
    </row>
    <row r="12" spans="1:58" ht="15" customHeight="1">
      <c r="A12" s="760" t="s">
        <v>56</v>
      </c>
      <c r="B12" s="761" t="s">
        <v>117</v>
      </c>
      <c r="C12" s="761"/>
      <c r="D12" s="762" t="s">
        <v>118</v>
      </c>
      <c r="E12" s="763"/>
      <c r="F12" s="764"/>
      <c r="G12" s="764"/>
      <c r="H12" s="765"/>
      <c r="P12" s="80"/>
      <c r="BB12" s="81"/>
      <c r="BC12" s="81"/>
      <c r="BD12" s="81"/>
      <c r="BE12" s="81"/>
      <c r="BF12" s="81"/>
    </row>
    <row r="13" spans="1:58" ht="15" customHeight="1">
      <c r="A13" s="194">
        <v>2</v>
      </c>
      <c r="B13" s="195"/>
      <c r="C13" s="195"/>
      <c r="D13" s="237" t="s">
        <v>761</v>
      </c>
      <c r="E13" s="197" t="s">
        <v>63</v>
      </c>
      <c r="F13" s="199">
        <f>'Výkaz výměr'!D8</f>
        <v>11.507059199999999</v>
      </c>
      <c r="G13" s="198">
        <v>13500</v>
      </c>
      <c r="H13" s="746">
        <f>(G13+750)*F13</f>
        <v>163975.59359999999</v>
      </c>
      <c r="I13" s="79"/>
      <c r="J13" s="79"/>
      <c r="P13" s="80"/>
    </row>
    <row r="14" spans="1:58" ht="15" customHeight="1">
      <c r="A14" s="194">
        <f>A13+1</f>
        <v>3</v>
      </c>
      <c r="B14" s="195"/>
      <c r="C14" s="195"/>
      <c r="D14" s="237" t="s">
        <v>760</v>
      </c>
      <c r="E14" s="197" t="s">
        <v>59</v>
      </c>
      <c r="F14" s="198">
        <f>'Výkaz výměr'!C9</f>
        <v>1.718496</v>
      </c>
      <c r="G14" s="199">
        <v>7392</v>
      </c>
      <c r="H14" s="746">
        <f>F14*G14+'Výkaz výměr'!D12*127.4+'Výkaz výměr'!D13*37.4</f>
        <v>32133.520832000002</v>
      </c>
      <c r="P14" s="80"/>
    </row>
    <row r="15" spans="1:58" ht="15" customHeight="1">
      <c r="A15" s="194">
        <f>A14+1</f>
        <v>4</v>
      </c>
      <c r="B15" s="195"/>
      <c r="C15" s="195"/>
      <c r="D15" s="237" t="s">
        <v>861</v>
      </c>
      <c r="E15" s="197" t="s">
        <v>60</v>
      </c>
      <c r="F15" s="199">
        <f>'Výkaz výměr'!N54</f>
        <v>81.12</v>
      </c>
      <c r="G15" s="199">
        <v>471.5</v>
      </c>
      <c r="H15" s="746">
        <f>F15*G15</f>
        <v>38248.080000000002</v>
      </c>
      <c r="P15" s="80"/>
    </row>
    <row r="16" spans="1:58" ht="15" customHeight="1" thickBot="1">
      <c r="A16" s="729">
        <f>A15+1</f>
        <v>5</v>
      </c>
      <c r="B16" s="730"/>
      <c r="C16" s="730"/>
      <c r="D16" s="731" t="s">
        <v>860</v>
      </c>
      <c r="E16" s="732" t="s">
        <v>59</v>
      </c>
      <c r="F16" s="733">
        <f>+'Výkaz výměr'!D16</f>
        <v>0</v>
      </c>
      <c r="G16" s="733">
        <v>68.5</v>
      </c>
      <c r="H16" s="747">
        <f>F16*G16</f>
        <v>0</v>
      </c>
      <c r="P16" s="80"/>
    </row>
    <row r="17" spans="1:58" ht="15" customHeight="1" thickBot="1">
      <c r="A17" s="734"/>
      <c r="B17" s="735" t="s">
        <v>545</v>
      </c>
      <c r="C17" s="735"/>
      <c r="D17" s="736" t="str">
        <f>CONCATENATE(B12," ",D12)</f>
        <v>B Kostra</v>
      </c>
      <c r="E17" s="737"/>
      <c r="F17" s="738"/>
      <c r="G17" s="738"/>
      <c r="H17" s="739">
        <f>SUM(H13:H16)</f>
        <v>234357.19443199999</v>
      </c>
      <c r="L17" s="93"/>
      <c r="P17" s="80"/>
    </row>
    <row r="18" spans="1:58" ht="15" customHeight="1">
      <c r="A18" s="163"/>
      <c r="B18" s="180"/>
      <c r="C18" s="180"/>
      <c r="D18" s="179"/>
      <c r="E18" s="163"/>
      <c r="F18" s="178"/>
      <c r="G18" s="178"/>
      <c r="H18" s="168"/>
      <c r="P18" s="80"/>
      <c r="BB18" s="81"/>
      <c r="BC18" s="81"/>
      <c r="BD18" s="81"/>
      <c r="BE18" s="81"/>
      <c r="BF18" s="81"/>
    </row>
    <row r="19" spans="1:58" ht="15" customHeight="1">
      <c r="A19" s="760" t="s">
        <v>56</v>
      </c>
      <c r="B19" s="761" t="s">
        <v>755</v>
      </c>
      <c r="C19" s="761"/>
      <c r="D19" s="762" t="s">
        <v>120</v>
      </c>
      <c r="E19" s="763"/>
      <c r="F19" s="764"/>
      <c r="G19" s="764"/>
      <c r="H19" s="765"/>
      <c r="P19" s="80"/>
      <c r="BB19" s="81"/>
      <c r="BC19" s="81"/>
      <c r="BD19" s="81"/>
      <c r="BE19" s="81"/>
      <c r="BF19" s="81"/>
    </row>
    <row r="20" spans="1:58" ht="15" customHeight="1">
      <c r="A20" s="863">
        <f>+A16+1</f>
        <v>6</v>
      </c>
      <c r="B20" s="721" t="s">
        <v>749</v>
      </c>
      <c r="C20" s="195"/>
      <c r="D20" s="237" t="s">
        <v>757</v>
      </c>
      <c r="E20" s="197" t="s">
        <v>60</v>
      </c>
      <c r="F20" s="199">
        <f>'Výkaz výměr'!K16</f>
        <v>116.9868</v>
      </c>
      <c r="G20" s="199">
        <v>598</v>
      </c>
      <c r="H20" s="746">
        <f t="shared" ref="H20:H30" si="0">F20*G20</f>
        <v>69958.106400000004</v>
      </c>
      <c r="I20" s="79"/>
      <c r="J20" s="79"/>
      <c r="P20" s="80"/>
    </row>
    <row r="21" spans="1:58" ht="15" customHeight="1">
      <c r="A21" s="863">
        <f t="shared" ref="A21:A31" si="1">A20+1</f>
        <v>7</v>
      </c>
      <c r="B21" s="721" t="s">
        <v>749</v>
      </c>
      <c r="C21" s="195"/>
      <c r="D21" s="237" t="s">
        <v>758</v>
      </c>
      <c r="E21" s="197" t="s">
        <v>60</v>
      </c>
      <c r="F21" s="198">
        <f>'Výkaz výměr'!D32</f>
        <v>139.26999999999998</v>
      </c>
      <c r="G21" s="199">
        <v>77.77</v>
      </c>
      <c r="H21" s="746">
        <f t="shared" si="0"/>
        <v>10831.027899999997</v>
      </c>
      <c r="P21" s="80"/>
    </row>
    <row r="22" spans="1:58" ht="22.5" customHeight="1">
      <c r="A22" s="863">
        <f t="shared" si="1"/>
        <v>8</v>
      </c>
      <c r="B22" s="721" t="s">
        <v>750</v>
      </c>
      <c r="C22" s="195"/>
      <c r="D22" s="237" t="s">
        <v>856</v>
      </c>
      <c r="E22" s="197" t="s">
        <v>60</v>
      </c>
      <c r="F22" s="198">
        <f>+('Výkaz výměr'!D12+'Výkaz výměr'!D13)*1.2</f>
        <v>301.69919999999996</v>
      </c>
      <c r="G22" s="199">
        <v>76.010000000000005</v>
      </c>
      <c r="H22" s="746">
        <f t="shared" si="0"/>
        <v>22932.156191999999</v>
      </c>
      <c r="P22" s="80"/>
    </row>
    <row r="23" spans="1:58" ht="25.5" customHeight="1">
      <c r="A23" s="863">
        <f t="shared" si="1"/>
        <v>9</v>
      </c>
      <c r="B23" s="834"/>
      <c r="C23" s="195"/>
      <c r="D23" s="237" t="s">
        <v>848</v>
      </c>
      <c r="E23" s="197" t="s">
        <v>75</v>
      </c>
      <c r="F23" s="199">
        <f>+'Výkaz výměr'!N86</f>
        <v>140</v>
      </c>
      <c r="G23" s="199">
        <v>179</v>
      </c>
      <c r="H23" s="746">
        <f>+F23*G23+'Výkaz výměr'!N148*200+'Výkaz výměr'!N155</f>
        <v>35760</v>
      </c>
      <c r="P23" s="80"/>
    </row>
    <row r="24" spans="1:58" ht="15" customHeight="1">
      <c r="A24" s="863">
        <f t="shared" si="1"/>
        <v>10</v>
      </c>
      <c r="B24" s="721"/>
      <c r="C24" s="195"/>
      <c r="D24" s="237" t="s">
        <v>762</v>
      </c>
      <c r="E24" s="197" t="s">
        <v>75</v>
      </c>
      <c r="F24" s="199">
        <f>'Výkaz výměr'!N140</f>
        <v>7.9</v>
      </c>
      <c r="G24" s="199">
        <v>501</v>
      </c>
      <c r="H24" s="746">
        <f>F24*G24</f>
        <v>3957.9</v>
      </c>
      <c r="P24" s="80"/>
    </row>
    <row r="25" spans="1:58" ht="15" customHeight="1">
      <c r="A25" s="863">
        <f t="shared" si="1"/>
        <v>11</v>
      </c>
      <c r="B25" s="721"/>
      <c r="C25" s="195"/>
      <c r="D25" s="237" t="s">
        <v>763</v>
      </c>
      <c r="E25" s="197" t="s">
        <v>75</v>
      </c>
      <c r="F25" s="199">
        <f>'Výkaz výměr'!N140</f>
        <v>7.9</v>
      </c>
      <c r="G25" s="199">
        <v>512</v>
      </c>
      <c r="H25" s="746">
        <f>F25*G25</f>
        <v>4044.8</v>
      </c>
      <c r="P25" s="80"/>
    </row>
    <row r="26" spans="1:58" ht="15" customHeight="1">
      <c r="A26" s="863"/>
      <c r="B26" s="721"/>
      <c r="C26" s="195"/>
      <c r="D26" s="237" t="s">
        <v>842</v>
      </c>
      <c r="E26" s="197" t="s">
        <v>60</v>
      </c>
      <c r="F26" s="199"/>
      <c r="G26" s="199">
        <v>803</v>
      </c>
      <c r="H26" s="746"/>
      <c r="P26" s="80"/>
    </row>
    <row r="27" spans="1:58" ht="15" customHeight="1">
      <c r="A27" s="863"/>
      <c r="B27" s="721"/>
      <c r="C27" s="195"/>
      <c r="D27" s="237" t="s">
        <v>841</v>
      </c>
      <c r="E27" s="197" t="s">
        <v>60</v>
      </c>
      <c r="F27" s="199"/>
      <c r="G27" s="199">
        <v>967</v>
      </c>
      <c r="H27" s="746"/>
      <c r="P27" s="80"/>
    </row>
    <row r="28" spans="1:58" ht="15" customHeight="1">
      <c r="A28" s="863"/>
      <c r="B28" s="721"/>
      <c r="C28" s="195"/>
      <c r="D28" s="237" t="s">
        <v>851</v>
      </c>
      <c r="E28" s="197" t="s">
        <v>60</v>
      </c>
      <c r="F28" s="199"/>
      <c r="G28" s="199">
        <v>0</v>
      </c>
      <c r="H28" s="746"/>
      <c r="P28" s="80"/>
    </row>
    <row r="29" spans="1:58" ht="15" customHeight="1">
      <c r="A29" s="863">
        <f>A25+1</f>
        <v>12</v>
      </c>
      <c r="B29" s="721" t="s">
        <v>394</v>
      </c>
      <c r="C29" s="195"/>
      <c r="D29" s="237" t="s">
        <v>870</v>
      </c>
      <c r="E29" s="197" t="s">
        <v>60</v>
      </c>
      <c r="F29" s="199">
        <f>'Výkaz výměr'!N87</f>
        <v>148.4</v>
      </c>
      <c r="G29" s="199">
        <v>699</v>
      </c>
      <c r="H29" s="746">
        <f t="shared" si="0"/>
        <v>103731.6</v>
      </c>
      <c r="P29" s="80"/>
    </row>
    <row r="30" spans="1:58" ht="15" customHeight="1">
      <c r="A30" s="863">
        <f t="shared" si="1"/>
        <v>13</v>
      </c>
      <c r="B30" s="721" t="s">
        <v>837</v>
      </c>
      <c r="C30" s="195"/>
      <c r="D30" s="237" t="s">
        <v>870</v>
      </c>
      <c r="E30" s="197" t="s">
        <v>60</v>
      </c>
      <c r="F30" s="199"/>
      <c r="G30" s="199">
        <v>738</v>
      </c>
      <c r="H30" s="746">
        <f t="shared" si="0"/>
        <v>0</v>
      </c>
      <c r="P30" s="80"/>
    </row>
    <row r="31" spans="1:58" ht="30" customHeight="1" thickBot="1">
      <c r="A31" s="863">
        <f t="shared" si="1"/>
        <v>14</v>
      </c>
      <c r="B31" s="721" t="s">
        <v>751</v>
      </c>
      <c r="C31" s="195"/>
      <c r="D31" s="740" t="s">
        <v>752</v>
      </c>
      <c r="E31" s="197" t="s">
        <v>60</v>
      </c>
      <c r="F31" s="199">
        <f>'Výkaz výměr'!N42</f>
        <v>111.416</v>
      </c>
      <c r="G31" s="199">
        <v>1090</v>
      </c>
      <c r="H31" s="746">
        <f>F31*G31+'Výkaz výměr'!F53*95.2</f>
        <v>124673.2115744</v>
      </c>
      <c r="P31" s="80"/>
    </row>
    <row r="32" spans="1:58" ht="15" customHeight="1" thickBot="1">
      <c r="A32" s="734"/>
      <c r="B32" s="735" t="s">
        <v>545</v>
      </c>
      <c r="C32" s="735"/>
      <c r="D32" s="736" t="str">
        <f>CONCATENATE(B19," ",D19)</f>
        <v>C1 Kostra - doplňkové konstrukce</v>
      </c>
      <c r="E32" s="737"/>
      <c r="F32" s="738"/>
      <c r="G32" s="738"/>
      <c r="H32" s="739">
        <f>SUM(H20:H31)</f>
        <v>375888.80206640001</v>
      </c>
      <c r="P32" s="80"/>
    </row>
    <row r="33" spans="1:58" ht="15" customHeight="1">
      <c r="A33" s="163"/>
      <c r="B33" s="180"/>
      <c r="C33" s="180"/>
      <c r="D33" s="179"/>
      <c r="E33" s="163"/>
      <c r="F33" s="178"/>
      <c r="G33" s="178"/>
      <c r="H33" s="168"/>
      <c r="P33" s="80"/>
    </row>
    <row r="34" spans="1:58" ht="15" customHeight="1">
      <c r="A34" s="760" t="s">
        <v>56</v>
      </c>
      <c r="B34" s="761" t="s">
        <v>756</v>
      </c>
      <c r="C34" s="761"/>
      <c r="D34" s="762" t="s">
        <v>725</v>
      </c>
      <c r="E34" s="763"/>
      <c r="F34" s="764"/>
      <c r="G34" s="764"/>
      <c r="H34" s="765"/>
      <c r="P34" s="80"/>
    </row>
    <row r="35" spans="1:58" ht="15" customHeight="1">
      <c r="A35" s="724">
        <f>+A31+1</f>
        <v>15</v>
      </c>
      <c r="B35" s="725" t="s">
        <v>579</v>
      </c>
      <c r="C35" s="725"/>
      <c r="D35" s="726" t="s">
        <v>906</v>
      </c>
      <c r="E35" s="727" t="s">
        <v>60</v>
      </c>
      <c r="F35" s="728">
        <f>'Výkaz výměr'!N139</f>
        <v>30</v>
      </c>
      <c r="G35" s="728">
        <v>5600</v>
      </c>
      <c r="H35" s="745">
        <f>+F35*G35</f>
        <v>168000</v>
      </c>
      <c r="P35" s="80"/>
    </row>
    <row r="36" spans="1:58" ht="15" customHeight="1">
      <c r="A36" s="724"/>
      <c r="B36" s="725"/>
      <c r="C36" s="725"/>
      <c r="D36" s="726" t="s">
        <v>847</v>
      </c>
      <c r="E36" s="727"/>
      <c r="F36" s="728"/>
      <c r="G36" s="728">
        <v>4350</v>
      </c>
      <c r="H36" s="745"/>
      <c r="P36" s="80"/>
    </row>
    <row r="37" spans="1:58" ht="15" customHeight="1">
      <c r="A37" s="724">
        <f>+A35+1</f>
        <v>16</v>
      </c>
      <c r="B37" s="725" t="s">
        <v>726</v>
      </c>
      <c r="C37" s="725"/>
      <c r="D37" s="726" t="s">
        <v>764</v>
      </c>
      <c r="E37" s="727" t="s">
        <v>65</v>
      </c>
      <c r="F37" s="728">
        <f>+'Výkaz výměr'!N141</f>
        <v>2</v>
      </c>
      <c r="G37" s="728">
        <v>20000</v>
      </c>
      <c r="H37" s="745">
        <f>+F37*G37</f>
        <v>40000</v>
      </c>
      <c r="P37" s="80"/>
    </row>
    <row r="38" spans="1:58" ht="15" customHeight="1">
      <c r="A38" s="724">
        <f>+A37+1</f>
        <v>17</v>
      </c>
      <c r="B38" s="725" t="s">
        <v>727</v>
      </c>
      <c r="C38" s="725"/>
      <c r="D38" s="726" t="s">
        <v>871</v>
      </c>
      <c r="E38" s="727" t="s">
        <v>65</v>
      </c>
      <c r="F38" s="728">
        <f>+'Výkaz výměr'!N94</f>
        <v>0</v>
      </c>
      <c r="G38" s="728">
        <v>16500</v>
      </c>
      <c r="H38" s="745">
        <f>+F38*G38</f>
        <v>0</v>
      </c>
      <c r="P38" s="80"/>
    </row>
    <row r="39" spans="1:58" ht="15" customHeight="1" thickBot="1">
      <c r="A39" s="724">
        <f>+A38+1</f>
        <v>18</v>
      </c>
      <c r="B39" s="725" t="s">
        <v>728</v>
      </c>
      <c r="C39" s="725"/>
      <c r="D39" s="726" t="s">
        <v>765</v>
      </c>
      <c r="E39" s="727" t="s">
        <v>65</v>
      </c>
      <c r="F39" s="728">
        <f>+'Výkaz výměr'!N157</f>
        <v>0</v>
      </c>
      <c r="G39" s="728">
        <v>4467</v>
      </c>
      <c r="H39" s="745">
        <f>+F39*G39</f>
        <v>0</v>
      </c>
      <c r="P39" s="80"/>
    </row>
    <row r="40" spans="1:58" ht="15" customHeight="1" thickBot="1">
      <c r="A40" s="734"/>
      <c r="B40" s="735" t="s">
        <v>545</v>
      </c>
      <c r="C40" s="735"/>
      <c r="D40" s="736" t="s">
        <v>754</v>
      </c>
      <c r="E40" s="737"/>
      <c r="F40" s="738"/>
      <c r="G40" s="738"/>
      <c r="H40" s="739">
        <f>SUM(H35:H39)</f>
        <v>208000</v>
      </c>
      <c r="P40" s="80"/>
    </row>
    <row r="41" spans="1:58" ht="15" customHeight="1">
      <c r="A41" s="163"/>
      <c r="B41" s="180"/>
      <c r="C41" s="180"/>
      <c r="D41" s="179"/>
      <c r="E41" s="163"/>
      <c r="F41" s="178"/>
      <c r="G41" s="178"/>
      <c r="H41" s="168"/>
      <c r="P41" s="80"/>
    </row>
    <row r="42" spans="1:58" ht="15" customHeight="1">
      <c r="A42" s="760" t="s">
        <v>56</v>
      </c>
      <c r="B42" s="761" t="s">
        <v>121</v>
      </c>
      <c r="C42" s="761"/>
      <c r="D42" s="762" t="s">
        <v>122</v>
      </c>
      <c r="E42" s="763"/>
      <c r="F42" s="764"/>
      <c r="G42" s="764"/>
      <c r="H42" s="765"/>
      <c r="P42" s="80"/>
      <c r="BB42" s="81"/>
      <c r="BC42" s="81"/>
      <c r="BD42" s="81"/>
      <c r="BE42" s="81"/>
      <c r="BF42" s="81"/>
    </row>
    <row r="43" spans="1:58" ht="15" customHeight="1">
      <c r="A43" s="863">
        <f>+A39+1</f>
        <v>19</v>
      </c>
      <c r="B43" s="721" t="s">
        <v>766</v>
      </c>
      <c r="C43" s="720"/>
      <c r="D43" s="237" t="s">
        <v>812</v>
      </c>
      <c r="E43" s="197" t="s">
        <v>60</v>
      </c>
      <c r="F43" s="199">
        <f>+'Výkaz výměr'!N59</f>
        <v>107.36</v>
      </c>
      <c r="G43" s="199">
        <v>811</v>
      </c>
      <c r="H43" s="746">
        <f>F43*G43</f>
        <v>87068.96</v>
      </c>
      <c r="P43" s="80"/>
      <c r="BB43" s="81"/>
      <c r="BC43" s="81"/>
      <c r="BD43" s="81"/>
      <c r="BE43" s="81"/>
      <c r="BF43" s="81"/>
    </row>
    <row r="44" spans="1:58" ht="15" customHeight="1">
      <c r="A44" s="863">
        <f>+A43+1</f>
        <v>20</v>
      </c>
      <c r="B44" s="721" t="s">
        <v>780</v>
      </c>
      <c r="C44" s="720"/>
      <c r="D44" s="237" t="s">
        <v>813</v>
      </c>
      <c r="E44" s="197" t="s">
        <v>60</v>
      </c>
      <c r="F44" s="199">
        <f>+'Výkaz výměr'!N54</f>
        <v>81.12</v>
      </c>
      <c r="G44" s="199">
        <v>644</v>
      </c>
      <c r="H44" s="746"/>
      <c r="P44" s="80"/>
      <c r="BB44" s="81"/>
      <c r="BC44" s="81"/>
      <c r="BD44" s="81"/>
      <c r="BE44" s="81"/>
      <c r="BF44" s="81"/>
    </row>
    <row r="45" spans="1:58" ht="15" customHeight="1">
      <c r="A45" s="863">
        <f>+A44+1</f>
        <v>21</v>
      </c>
      <c r="B45" s="721" t="s">
        <v>781</v>
      </c>
      <c r="C45" s="720"/>
      <c r="D45" s="237" t="s">
        <v>783</v>
      </c>
      <c r="E45" s="197" t="s">
        <v>60</v>
      </c>
      <c r="F45" s="199">
        <f>'Výkaz výměr'!N54</f>
        <v>81.12</v>
      </c>
      <c r="G45" s="199">
        <v>294</v>
      </c>
      <c r="H45" s="746">
        <f>+F45*G45</f>
        <v>23849.280000000002</v>
      </c>
      <c r="P45" s="80"/>
      <c r="BB45" s="81"/>
      <c r="BC45" s="81"/>
      <c r="BD45" s="81"/>
      <c r="BE45" s="81"/>
      <c r="BF45" s="81"/>
    </row>
    <row r="46" spans="1:58" ht="15" customHeight="1">
      <c r="A46" s="863">
        <f>+A45+1</f>
        <v>22</v>
      </c>
      <c r="B46" s="721" t="s">
        <v>782</v>
      </c>
      <c r="C46" s="720"/>
      <c r="D46" s="237" t="s">
        <v>813</v>
      </c>
      <c r="E46" s="197" t="s">
        <v>60</v>
      </c>
      <c r="F46" s="199">
        <f>+'Výkaz výměr'!N73</f>
        <v>15</v>
      </c>
      <c r="G46" s="199">
        <v>644</v>
      </c>
      <c r="H46" s="746">
        <f>+F46*G46</f>
        <v>9660</v>
      </c>
      <c r="P46" s="80"/>
      <c r="BB46" s="81"/>
      <c r="BC46" s="81"/>
      <c r="BD46" s="81"/>
      <c r="BE46" s="81"/>
      <c r="BF46" s="81"/>
    </row>
    <row r="47" spans="1:58" ht="15" customHeight="1">
      <c r="A47" s="863">
        <f>+A46+1</f>
        <v>23</v>
      </c>
      <c r="B47" s="721" t="s">
        <v>784</v>
      </c>
      <c r="C47" s="720"/>
      <c r="D47" s="237" t="s">
        <v>813</v>
      </c>
      <c r="E47" s="197" t="s">
        <v>60</v>
      </c>
      <c r="F47" s="199">
        <f>+'Výkaz výměr'!N103+'Výkaz výměr'!N117</f>
        <v>16.5</v>
      </c>
      <c r="G47" s="199">
        <v>594</v>
      </c>
      <c r="H47" s="746">
        <f>+F47*G47</f>
        <v>9801</v>
      </c>
      <c r="I47" s="79"/>
      <c r="J47" s="79"/>
      <c r="P47" s="80"/>
    </row>
    <row r="48" spans="1:58" ht="15" customHeight="1" thickBot="1">
      <c r="A48" s="863">
        <f>+A47+1</f>
        <v>24</v>
      </c>
      <c r="B48" s="721" t="s">
        <v>785</v>
      </c>
      <c r="C48" s="720"/>
      <c r="D48" s="237" t="s">
        <v>786</v>
      </c>
      <c r="E48" s="197" t="s">
        <v>60</v>
      </c>
      <c r="F48" s="199">
        <f>+'Výkaz výměr'!N106+'Výkaz výměr'!N120</f>
        <v>88</v>
      </c>
      <c r="G48" s="199">
        <v>248</v>
      </c>
      <c r="H48" s="746">
        <f>+F48*G48</f>
        <v>21824</v>
      </c>
      <c r="I48" s="79"/>
      <c r="J48" s="79"/>
      <c r="P48" s="80"/>
    </row>
    <row r="49" spans="1:58" ht="15" customHeight="1" thickBot="1">
      <c r="A49" s="734"/>
      <c r="B49" s="735" t="s">
        <v>57</v>
      </c>
      <c r="C49" s="735"/>
      <c r="D49" s="736" t="str">
        <f>CONCATENATE(B42," ",D42)</f>
        <v>D Tepelné izolace</v>
      </c>
      <c r="E49" s="737"/>
      <c r="F49" s="738"/>
      <c r="G49" s="738"/>
      <c r="H49" s="739">
        <f>SUM(H43:H48)</f>
        <v>152203.24</v>
      </c>
      <c r="P49" s="80"/>
    </row>
    <row r="50" spans="1:58" ht="15" customHeight="1">
      <c r="A50" s="163"/>
      <c r="B50" s="180"/>
      <c r="C50" s="180"/>
      <c r="D50" s="179"/>
      <c r="E50" s="163"/>
      <c r="F50" s="178"/>
      <c r="G50" s="178"/>
      <c r="H50" s="168"/>
      <c r="P50" s="80"/>
    </row>
    <row r="51" spans="1:58" ht="15" customHeight="1">
      <c r="A51" s="760" t="s">
        <v>56</v>
      </c>
      <c r="B51" s="761" t="s">
        <v>123</v>
      </c>
      <c r="C51" s="761"/>
      <c r="D51" s="762" t="s">
        <v>148</v>
      </c>
      <c r="E51" s="763"/>
      <c r="F51" s="764"/>
      <c r="G51" s="764"/>
      <c r="H51" s="765"/>
      <c r="P51" s="80"/>
      <c r="BB51" s="81"/>
      <c r="BC51" s="81"/>
      <c r="BD51" s="81"/>
      <c r="BE51" s="81"/>
      <c r="BF51" s="81"/>
    </row>
    <row r="52" spans="1:58" ht="30" customHeight="1">
      <c r="A52" s="863">
        <f>+A48+1</f>
        <v>25</v>
      </c>
      <c r="B52" s="721" t="s">
        <v>729</v>
      </c>
      <c r="C52" s="195"/>
      <c r="D52" s="740" t="s">
        <v>787</v>
      </c>
      <c r="E52" s="197" t="s">
        <v>60</v>
      </c>
      <c r="F52" s="199">
        <f>'Výkaz výměr'!D78</f>
        <v>16.5</v>
      </c>
      <c r="G52" s="199">
        <v>1156.9000000000001</v>
      </c>
      <c r="H52" s="746">
        <f t="shared" ref="H52:H59" si="2">F52*G52</f>
        <v>19088.850000000002</v>
      </c>
      <c r="P52" s="80"/>
      <c r="BB52" s="81"/>
      <c r="BC52" s="81"/>
      <c r="BD52" s="81"/>
      <c r="BE52" s="81"/>
      <c r="BF52" s="81"/>
    </row>
    <row r="53" spans="1:58" ht="30" customHeight="1">
      <c r="A53" s="863">
        <f>A52+1</f>
        <v>26</v>
      </c>
      <c r="B53" s="721" t="s">
        <v>730</v>
      </c>
      <c r="C53" s="195"/>
      <c r="D53" s="740" t="s">
        <v>788</v>
      </c>
      <c r="E53" s="197" t="s">
        <v>60</v>
      </c>
      <c r="F53" s="199">
        <f>'Výkaz výměr'!D79</f>
        <v>88</v>
      </c>
      <c r="G53" s="199">
        <v>1057</v>
      </c>
      <c r="H53" s="746">
        <f t="shared" si="2"/>
        <v>93016</v>
      </c>
      <c r="I53" s="79"/>
      <c r="J53" s="79"/>
      <c r="P53" s="80"/>
    </row>
    <row r="54" spans="1:58" ht="30" customHeight="1">
      <c r="A54" s="863">
        <f t="shared" ref="A54:A59" si="3">A53+1</f>
        <v>27</v>
      </c>
      <c r="B54" s="721" t="s">
        <v>732</v>
      </c>
      <c r="C54" s="195"/>
      <c r="D54" s="740" t="s">
        <v>789</v>
      </c>
      <c r="E54" s="197" t="s">
        <v>60</v>
      </c>
      <c r="F54" s="199">
        <f>'Výkaz výměr'!K45</f>
        <v>93.287999999999997</v>
      </c>
      <c r="G54" s="199">
        <v>722</v>
      </c>
      <c r="H54" s="746">
        <f>F54*G54</f>
        <v>67353.936000000002</v>
      </c>
      <c r="I54" s="79"/>
      <c r="J54" s="79"/>
      <c r="P54" s="80"/>
    </row>
    <row r="55" spans="1:58" ht="30" customHeight="1">
      <c r="A55" s="863">
        <f t="shared" si="3"/>
        <v>28</v>
      </c>
      <c r="B55" s="721" t="s">
        <v>731</v>
      </c>
      <c r="C55" s="195"/>
      <c r="D55" s="740" t="s">
        <v>733</v>
      </c>
      <c r="E55" s="197" t="s">
        <v>60</v>
      </c>
      <c r="F55" s="199">
        <f>'Výkaz výměr'!D81*1.1</f>
        <v>118.096</v>
      </c>
      <c r="G55" s="199">
        <v>428</v>
      </c>
      <c r="H55" s="746">
        <f>F55*G55</f>
        <v>50545.088000000003</v>
      </c>
      <c r="P55" s="80"/>
    </row>
    <row r="56" spans="1:58" ht="30" customHeight="1">
      <c r="A56" s="864">
        <f t="shared" si="3"/>
        <v>29</v>
      </c>
      <c r="B56" s="722" t="s">
        <v>734</v>
      </c>
      <c r="C56" s="716"/>
      <c r="D56" s="753" t="s">
        <v>787</v>
      </c>
      <c r="E56" s="717" t="s">
        <v>60</v>
      </c>
      <c r="F56" s="718">
        <f>'Výkaz výměr'!D97</f>
        <v>0</v>
      </c>
      <c r="G56" s="718">
        <v>1157</v>
      </c>
      <c r="H56" s="748">
        <f>F56*G56</f>
        <v>0</v>
      </c>
      <c r="P56" s="80"/>
    </row>
    <row r="57" spans="1:58" ht="30" customHeight="1">
      <c r="A57" s="863">
        <f t="shared" si="3"/>
        <v>30</v>
      </c>
      <c r="B57" s="721" t="s">
        <v>735</v>
      </c>
      <c r="C57" s="195"/>
      <c r="D57" s="740" t="s">
        <v>788</v>
      </c>
      <c r="E57" s="197" t="s">
        <v>60</v>
      </c>
      <c r="F57" s="199">
        <f>'Výkaz výměr'!K52</f>
        <v>0</v>
      </c>
      <c r="G57" s="199">
        <v>1057</v>
      </c>
      <c r="H57" s="746">
        <f>F57*G57</f>
        <v>0</v>
      </c>
      <c r="P57" s="80"/>
    </row>
    <row r="58" spans="1:58" ht="30" customHeight="1">
      <c r="A58" s="863">
        <f t="shared" si="3"/>
        <v>31</v>
      </c>
      <c r="B58" s="721" t="s">
        <v>736</v>
      </c>
      <c r="C58" s="195"/>
      <c r="D58" s="740" t="s">
        <v>139</v>
      </c>
      <c r="E58" s="197" t="s">
        <v>60</v>
      </c>
      <c r="F58" s="199">
        <f>'Výkaz výměr'!D100*1.1</f>
        <v>0</v>
      </c>
      <c r="G58" s="199">
        <v>595</v>
      </c>
      <c r="H58" s="746">
        <f t="shared" si="2"/>
        <v>0</v>
      </c>
      <c r="P58" s="80"/>
    </row>
    <row r="59" spans="1:58" ht="30" customHeight="1" thickBot="1">
      <c r="A59" s="863">
        <f t="shared" si="3"/>
        <v>32</v>
      </c>
      <c r="B59" s="721" t="s">
        <v>737</v>
      </c>
      <c r="C59" s="195"/>
      <c r="D59" s="740" t="s">
        <v>432</v>
      </c>
      <c r="E59" s="197" t="s">
        <v>60</v>
      </c>
      <c r="F59" s="199">
        <f>'Výkaz výměr'!N73</f>
        <v>15</v>
      </c>
      <c r="G59" s="199">
        <v>634</v>
      </c>
      <c r="H59" s="746">
        <f t="shared" si="2"/>
        <v>9510</v>
      </c>
      <c r="P59" s="80"/>
    </row>
    <row r="60" spans="1:58" ht="13.8" thickBot="1">
      <c r="A60" s="734"/>
      <c r="B60" s="735" t="s">
        <v>57</v>
      </c>
      <c r="C60" s="735"/>
      <c r="D60" s="736" t="str">
        <f>CONCATENATE(B51," ",D51)</f>
        <v>F Sádrokartonové konstrukce</v>
      </c>
      <c r="E60" s="737"/>
      <c r="F60" s="738"/>
      <c r="G60" s="738"/>
      <c r="H60" s="739">
        <f>SUM(H52:H59)</f>
        <v>239513.87400000001</v>
      </c>
      <c r="P60" s="80"/>
    </row>
    <row r="61" spans="1:58">
      <c r="A61" s="163"/>
      <c r="B61" s="180"/>
      <c r="C61" s="180"/>
      <c r="D61" s="179"/>
      <c r="E61" s="163"/>
      <c r="F61" s="178"/>
      <c r="G61" s="178"/>
      <c r="H61" s="168"/>
      <c r="P61" s="80"/>
    </row>
    <row r="62" spans="1:58">
      <c r="A62" s="760" t="s">
        <v>56</v>
      </c>
      <c r="B62" s="761" t="s">
        <v>124</v>
      </c>
      <c r="C62" s="761"/>
      <c r="D62" s="762" t="s">
        <v>147</v>
      </c>
      <c r="E62" s="763"/>
      <c r="F62" s="764"/>
      <c r="G62" s="764"/>
      <c r="H62" s="765"/>
      <c r="P62" s="80"/>
      <c r="BB62" s="81"/>
      <c r="BC62" s="81"/>
      <c r="BD62" s="81"/>
      <c r="BE62" s="81"/>
      <c r="BF62" s="81"/>
    </row>
    <row r="63" spans="1:58">
      <c r="A63" s="863">
        <f>+A59+1</f>
        <v>33</v>
      </c>
      <c r="B63" s="720" t="s">
        <v>743</v>
      </c>
      <c r="C63" s="195"/>
      <c r="D63" s="237" t="s">
        <v>767</v>
      </c>
      <c r="E63" s="197" t="s">
        <v>60</v>
      </c>
      <c r="F63" s="199">
        <f>+'Výkaz výměr'!N53*2.15</f>
        <v>174.40800000000002</v>
      </c>
      <c r="G63" s="198">
        <v>163</v>
      </c>
      <c r="H63" s="746">
        <f t="shared" ref="H63:H69" si="4">F63*G63</f>
        <v>28428.504000000001</v>
      </c>
      <c r="P63" s="80"/>
    </row>
    <row r="64" spans="1:58">
      <c r="A64" s="495">
        <f t="shared" ref="A64:A69" si="5">+A63+1</f>
        <v>34</v>
      </c>
      <c r="B64" s="720" t="s">
        <v>743</v>
      </c>
      <c r="C64" s="195"/>
      <c r="D64" s="237" t="s">
        <v>759</v>
      </c>
      <c r="E64" s="197" t="s">
        <v>60</v>
      </c>
      <c r="F64" s="199">
        <f>+'Výkaz výměr'!N53</f>
        <v>81.12</v>
      </c>
      <c r="G64" s="198">
        <v>480</v>
      </c>
      <c r="H64" s="746">
        <f t="shared" si="4"/>
        <v>38937.600000000006</v>
      </c>
      <c r="P64" s="80"/>
    </row>
    <row r="65" spans="1:58">
      <c r="A65" s="495">
        <f t="shared" si="5"/>
        <v>35</v>
      </c>
      <c r="B65" s="720"/>
      <c r="C65" s="195"/>
      <c r="D65" s="237" t="s">
        <v>857</v>
      </c>
      <c r="E65" s="197" t="s">
        <v>60</v>
      </c>
      <c r="F65" s="199">
        <f>+'Výkaz výměr'!N161+'Výkaz výměr'!N53</f>
        <v>81.12</v>
      </c>
      <c r="G65" s="198">
        <v>230</v>
      </c>
      <c r="H65" s="746">
        <f t="shared" si="4"/>
        <v>18657.600000000002</v>
      </c>
      <c r="I65" s="358"/>
      <c r="P65" s="80"/>
    </row>
    <row r="66" spans="1:58">
      <c r="A66" s="495">
        <f t="shared" si="5"/>
        <v>36</v>
      </c>
      <c r="B66" s="720" t="s">
        <v>741</v>
      </c>
      <c r="C66" s="195"/>
      <c r="D66" s="719" t="s">
        <v>742</v>
      </c>
      <c r="E66" s="197" t="s">
        <v>60</v>
      </c>
      <c r="F66" s="199">
        <f>'Výkaz výměr'!K61</f>
        <v>93.287999999999997</v>
      </c>
      <c r="G66" s="198">
        <v>557.5</v>
      </c>
      <c r="H66" s="746">
        <f t="shared" si="4"/>
        <v>52008.06</v>
      </c>
      <c r="P66" s="80"/>
    </row>
    <row r="67" spans="1:58">
      <c r="A67" s="495">
        <f t="shared" si="5"/>
        <v>37</v>
      </c>
      <c r="B67" s="720" t="s">
        <v>741</v>
      </c>
      <c r="C67" s="195"/>
      <c r="D67" s="237" t="s">
        <v>744</v>
      </c>
      <c r="E67" s="197" t="s">
        <v>60</v>
      </c>
      <c r="F67" s="199">
        <f>'Výkaz výměr'!J61</f>
        <v>81.12</v>
      </c>
      <c r="G67" s="198">
        <v>165</v>
      </c>
      <c r="H67" s="746">
        <f t="shared" si="4"/>
        <v>13384.800000000001</v>
      </c>
      <c r="P67" s="80"/>
    </row>
    <row r="68" spans="1:58">
      <c r="A68" s="495">
        <f t="shared" si="5"/>
        <v>38</v>
      </c>
      <c r="B68" s="720"/>
      <c r="C68" s="195"/>
      <c r="D68" s="237" t="s">
        <v>747</v>
      </c>
      <c r="E68" s="197" t="s">
        <v>75</v>
      </c>
      <c r="F68" s="199">
        <f>+'Výkaz výměr'!N164/2</f>
        <v>34.03</v>
      </c>
      <c r="G68" s="199">
        <v>250</v>
      </c>
      <c r="H68" s="746">
        <f t="shared" si="4"/>
        <v>8507.5</v>
      </c>
      <c r="P68" s="80"/>
    </row>
    <row r="69" spans="1:58" ht="13.8" thickBot="1">
      <c r="A69" s="495">
        <f t="shared" si="5"/>
        <v>39</v>
      </c>
      <c r="B69" s="723" t="s">
        <v>795</v>
      </c>
      <c r="C69" s="496"/>
      <c r="D69" s="237" t="s">
        <v>748</v>
      </c>
      <c r="E69" s="497" t="s">
        <v>60</v>
      </c>
      <c r="F69" s="199">
        <f>'Výkaz výměr'!N36</f>
        <v>50</v>
      </c>
      <c r="G69" s="199">
        <v>510</v>
      </c>
      <c r="H69" s="746">
        <f t="shared" si="4"/>
        <v>25500</v>
      </c>
      <c r="P69" s="80"/>
    </row>
    <row r="70" spans="1:58" ht="15" customHeight="1" thickBot="1">
      <c r="A70" s="734"/>
      <c r="B70" s="735" t="s">
        <v>57</v>
      </c>
      <c r="C70" s="735"/>
      <c r="D70" s="736" t="str">
        <f>CONCATENATE(B62," ",D62)</f>
        <v>G Ostatní práce</v>
      </c>
      <c r="E70" s="737"/>
      <c r="F70" s="738"/>
      <c r="G70" s="738"/>
      <c r="H70" s="739">
        <f>SUM(H63:H69)</f>
        <v>185424.06400000001</v>
      </c>
      <c r="K70" s="76"/>
      <c r="P70" s="80"/>
    </row>
    <row r="71" spans="1:58" ht="15" customHeight="1">
      <c r="A71" s="163"/>
      <c r="B71" s="180"/>
      <c r="C71" s="180"/>
      <c r="D71" s="179"/>
      <c r="E71" s="163"/>
      <c r="F71" s="178"/>
      <c r="G71" s="178"/>
      <c r="H71" s="168"/>
      <c r="P71" s="80"/>
    </row>
    <row r="72" spans="1:58" ht="15" customHeight="1">
      <c r="A72" s="760" t="s">
        <v>56</v>
      </c>
      <c r="B72" s="761" t="s">
        <v>128</v>
      </c>
      <c r="C72" s="761"/>
      <c r="D72" s="762" t="s">
        <v>136</v>
      </c>
      <c r="E72" s="763"/>
      <c r="F72" s="764"/>
      <c r="G72" s="764"/>
      <c r="H72" s="765"/>
      <c r="P72" s="80"/>
      <c r="BB72" s="81"/>
      <c r="BC72" s="81"/>
      <c r="BD72" s="81"/>
      <c r="BE72" s="81"/>
      <c r="BF72" s="81"/>
    </row>
    <row r="73" spans="1:58" ht="15" customHeight="1">
      <c r="A73" s="194">
        <f>+A69+1</f>
        <v>40</v>
      </c>
      <c r="B73" s="195" t="s">
        <v>80</v>
      </c>
      <c r="C73" s="195"/>
      <c r="D73" s="237" t="s">
        <v>330</v>
      </c>
      <c r="E73" s="197" t="s">
        <v>60</v>
      </c>
      <c r="F73" s="199">
        <f>'Výkaz výměr'!D139</f>
        <v>370.28000000000003</v>
      </c>
      <c r="G73" s="199">
        <v>61</v>
      </c>
      <c r="H73" s="746">
        <f>F73*G73</f>
        <v>22587.08</v>
      </c>
      <c r="P73" s="80"/>
      <c r="BB73" s="81"/>
      <c r="BC73" s="81"/>
      <c r="BD73" s="81"/>
      <c r="BE73" s="81"/>
      <c r="BF73" s="81"/>
    </row>
    <row r="74" spans="1:58" ht="15" customHeight="1" thickBot="1">
      <c r="A74" s="194">
        <f>+A73+1</f>
        <v>41</v>
      </c>
      <c r="B74" s="195" t="s">
        <v>80</v>
      </c>
      <c r="C74" s="195"/>
      <c r="D74" s="740" t="s">
        <v>331</v>
      </c>
      <c r="E74" s="197" t="s">
        <v>60</v>
      </c>
      <c r="F74" s="199">
        <f>'Výkaz výměr'!D140</f>
        <v>15</v>
      </c>
      <c r="G74" s="199">
        <v>61</v>
      </c>
      <c r="H74" s="746">
        <f>F74*G74</f>
        <v>915</v>
      </c>
      <c r="P74" s="80"/>
      <c r="BB74" s="81"/>
      <c r="BC74" s="81"/>
      <c r="BD74" s="81"/>
      <c r="BE74" s="81"/>
      <c r="BF74" s="81"/>
    </row>
    <row r="75" spans="1:58" ht="15" customHeight="1" thickBot="1">
      <c r="A75" s="734"/>
      <c r="B75" s="735" t="s">
        <v>57</v>
      </c>
      <c r="C75" s="735"/>
      <c r="D75" s="736" t="str">
        <f>CONCATENATE(B72," ",D72)</f>
        <v>I Malby</v>
      </c>
      <c r="E75" s="737"/>
      <c r="F75" s="738"/>
      <c r="G75" s="738"/>
      <c r="H75" s="739">
        <f>SUM(H73:H74)</f>
        <v>23502.080000000002</v>
      </c>
      <c r="P75" s="80"/>
      <c r="BB75" s="81"/>
      <c r="BC75" s="81"/>
      <c r="BD75" s="81"/>
      <c r="BE75" s="81"/>
      <c r="BF75" s="81"/>
    </row>
    <row r="76" spans="1:58" ht="15" customHeight="1">
      <c r="A76" s="163"/>
      <c r="B76" s="180"/>
      <c r="C76" s="180"/>
      <c r="D76" s="179"/>
      <c r="E76" s="163"/>
      <c r="F76" s="178"/>
      <c r="G76" s="178"/>
      <c r="H76" s="168"/>
      <c r="P76" s="80"/>
      <c r="BB76" s="81"/>
      <c r="BC76" s="81"/>
      <c r="BD76" s="81"/>
      <c r="BE76" s="81"/>
      <c r="BF76" s="81"/>
    </row>
    <row r="77" spans="1:58" ht="15" customHeight="1">
      <c r="A77" s="760" t="s">
        <v>56</v>
      </c>
      <c r="B77" s="761" t="s">
        <v>130</v>
      </c>
      <c r="C77" s="761"/>
      <c r="D77" s="762" t="s">
        <v>108</v>
      </c>
      <c r="E77" s="763"/>
      <c r="F77" s="764"/>
      <c r="G77" s="764"/>
      <c r="H77" s="765"/>
      <c r="P77" s="80"/>
      <c r="BB77" s="81"/>
      <c r="BC77" s="81"/>
      <c r="BD77" s="81"/>
      <c r="BE77" s="81"/>
      <c r="BF77" s="81"/>
    </row>
    <row r="78" spans="1:58" ht="15" customHeight="1" thickBot="1">
      <c r="A78" s="194">
        <f>+A74+1</f>
        <v>42</v>
      </c>
      <c r="B78" s="195"/>
      <c r="C78" s="195"/>
      <c r="D78" s="237" t="s">
        <v>306</v>
      </c>
      <c r="E78" s="197" t="s">
        <v>63</v>
      </c>
      <c r="F78" s="199">
        <v>1</v>
      </c>
      <c r="G78" s="199">
        <f>(H17+H32+H40+H49+H60)*0.025</f>
        <v>30249.077762460001</v>
      </c>
      <c r="H78" s="746">
        <f>F78*G78</f>
        <v>30249.077762460001</v>
      </c>
      <c r="I78" s="169"/>
      <c r="P78" s="80"/>
      <c r="BB78" s="81"/>
      <c r="BC78" s="81"/>
      <c r="BD78" s="81"/>
      <c r="BE78" s="81"/>
      <c r="BF78" s="81"/>
    </row>
    <row r="79" spans="1:58" ht="15" customHeight="1" thickBot="1">
      <c r="A79" s="734"/>
      <c r="B79" s="735" t="s">
        <v>57</v>
      </c>
      <c r="C79" s="735"/>
      <c r="D79" s="736" t="str">
        <f>CONCATENATE(B77," ",D77)</f>
        <v>J Staveništní přesun hmot</v>
      </c>
      <c r="E79" s="737"/>
      <c r="F79" s="738"/>
      <c r="G79" s="738"/>
      <c r="H79" s="739">
        <f>SUM(H78)</f>
        <v>30249.077762460001</v>
      </c>
      <c r="P79" s="80"/>
      <c r="BB79" s="81"/>
      <c r="BC79" s="81"/>
      <c r="BD79" s="81"/>
      <c r="BE79" s="81"/>
      <c r="BF79" s="81"/>
    </row>
    <row r="80" spans="1:58" ht="13.5" customHeight="1">
      <c r="A80" s="163"/>
      <c r="B80" s="180"/>
      <c r="C80" s="180"/>
      <c r="D80" s="179"/>
      <c r="E80" s="163"/>
      <c r="F80" s="178"/>
      <c r="G80" s="178"/>
      <c r="H80" s="168"/>
      <c r="P80" s="80"/>
      <c r="BB80" s="81"/>
      <c r="BC80" s="81"/>
      <c r="BD80" s="81"/>
      <c r="BE80" s="81"/>
      <c r="BF80" s="81"/>
    </row>
    <row r="81" spans="1:58" ht="15" hidden="1" customHeight="1">
      <c r="A81" s="163"/>
      <c r="B81" s="180"/>
      <c r="C81" s="180"/>
      <c r="D81" s="179"/>
      <c r="E81" s="163"/>
      <c r="F81" s="178"/>
      <c r="G81" s="178"/>
      <c r="H81" s="168"/>
      <c r="P81" s="80"/>
      <c r="BB81" s="81"/>
      <c r="BC81" s="81"/>
      <c r="BD81" s="81"/>
      <c r="BE81" s="81"/>
      <c r="BF81" s="81"/>
    </row>
    <row r="82" spans="1:58" ht="15" hidden="1" customHeight="1">
      <c r="A82" s="163"/>
      <c r="B82" s="180"/>
      <c r="C82" s="180"/>
      <c r="D82" s="179"/>
      <c r="E82" s="163"/>
      <c r="F82" s="178"/>
      <c r="G82" s="178"/>
      <c r="H82" s="168"/>
      <c r="P82" s="80"/>
      <c r="BB82" s="81"/>
      <c r="BC82" s="81"/>
      <c r="BD82" s="81"/>
      <c r="BE82" s="81"/>
      <c r="BF82" s="81"/>
    </row>
    <row r="83" spans="1:58" ht="15" customHeight="1">
      <c r="A83" s="163"/>
      <c r="B83" s="180"/>
      <c r="C83" s="180"/>
      <c r="D83" s="182"/>
      <c r="E83" s="163"/>
      <c r="F83" s="178"/>
      <c r="G83" s="178"/>
      <c r="H83" s="168"/>
      <c r="I83" s="82"/>
      <c r="P83" s="80"/>
      <c r="BB83" s="81"/>
      <c r="BC83" s="81"/>
      <c r="BD83" s="81"/>
      <c r="BE83" s="81"/>
      <c r="BF83" s="81"/>
    </row>
    <row r="84" spans="1:58" ht="15" customHeight="1">
      <c r="A84" s="760" t="s">
        <v>56</v>
      </c>
      <c r="B84" s="761" t="s">
        <v>151</v>
      </c>
      <c r="C84" s="761"/>
      <c r="D84" s="859" t="s">
        <v>125</v>
      </c>
      <c r="E84" s="860"/>
      <c r="F84" s="861"/>
      <c r="G84" s="861"/>
      <c r="H84" s="765"/>
      <c r="P84" s="80"/>
      <c r="BB84" s="81"/>
      <c r="BC84" s="81"/>
      <c r="BD84" s="81"/>
      <c r="BE84" s="81"/>
      <c r="BF84" s="81"/>
    </row>
    <row r="85" spans="1:58" ht="15" customHeight="1">
      <c r="A85" s="194">
        <f>A78+1</f>
        <v>43</v>
      </c>
      <c r="B85" s="195" t="s">
        <v>80</v>
      </c>
      <c r="C85" s="195"/>
      <c r="D85" s="196" t="s">
        <v>886</v>
      </c>
      <c r="E85" s="197" t="s">
        <v>63</v>
      </c>
      <c r="F85" s="199">
        <f>'Výkaz výměr'!N164</f>
        <v>68.06</v>
      </c>
      <c r="G85" s="199">
        <v>330</v>
      </c>
      <c r="H85" s="746">
        <f>F85*G85</f>
        <v>22459.8</v>
      </c>
      <c r="P85" s="80"/>
      <c r="BB85" s="81"/>
      <c r="BC85" s="81"/>
      <c r="BD85" s="81"/>
      <c r="BE85" s="81"/>
      <c r="BF85" s="81"/>
    </row>
    <row r="86" spans="1:58" ht="15" hidden="1" customHeight="1">
      <c r="A86" s="194"/>
      <c r="B86" s="195" t="s">
        <v>80</v>
      </c>
      <c r="C86" s="195"/>
      <c r="D86" s="196"/>
      <c r="E86" s="197" t="s">
        <v>63</v>
      </c>
      <c r="F86" s="199"/>
      <c r="G86" s="199"/>
      <c r="H86" s="746"/>
      <c r="I86" s="79"/>
      <c r="J86" s="79"/>
      <c r="P86" s="80"/>
    </row>
    <row r="87" spans="1:58" ht="15" hidden="1" customHeight="1">
      <c r="A87" s="194">
        <f>A86+1</f>
        <v>1</v>
      </c>
      <c r="B87" s="730" t="s">
        <v>80</v>
      </c>
      <c r="C87" s="730"/>
      <c r="D87" s="754" t="s">
        <v>438</v>
      </c>
      <c r="E87" s="732" t="s">
        <v>63</v>
      </c>
      <c r="F87" s="733"/>
      <c r="G87" s="733">
        <v>15000</v>
      </c>
      <c r="H87" s="747">
        <f>G87*F87</f>
        <v>0</v>
      </c>
      <c r="P87" s="80"/>
    </row>
    <row r="88" spans="1:58" ht="15" customHeight="1" thickBot="1">
      <c r="A88" s="194">
        <v>44</v>
      </c>
      <c r="B88" s="730" t="s">
        <v>80</v>
      </c>
      <c r="C88" s="730"/>
      <c r="D88" s="754" t="s">
        <v>839</v>
      </c>
      <c r="E88" s="732" t="s">
        <v>316</v>
      </c>
      <c r="F88" s="733">
        <v>0</v>
      </c>
      <c r="G88" s="733">
        <v>4970</v>
      </c>
      <c r="H88" s="747">
        <f>F88*G88</f>
        <v>0</v>
      </c>
      <c r="P88" s="80"/>
    </row>
    <row r="89" spans="1:58" ht="15" customHeight="1" thickBot="1">
      <c r="A89" s="734"/>
      <c r="B89" s="735" t="s">
        <v>57</v>
      </c>
      <c r="C89" s="735"/>
      <c r="D89" s="736" t="str">
        <f>CONCATENATE(B84," ",D84)</f>
        <v>K Vnitřní instalace</v>
      </c>
      <c r="E89" s="737"/>
      <c r="F89" s="738"/>
      <c r="G89" s="738"/>
      <c r="H89" s="862">
        <f>H85+H86+H87+H88</f>
        <v>22459.8</v>
      </c>
      <c r="P89" s="80"/>
    </row>
    <row r="90" spans="1:58" ht="15" customHeight="1" thickBot="1">
      <c r="A90" s="163"/>
      <c r="B90" s="180"/>
      <c r="C90" s="180"/>
      <c r="D90" s="179"/>
      <c r="E90" s="163"/>
      <c r="F90" s="178"/>
      <c r="G90" s="178"/>
      <c r="H90" s="168"/>
      <c r="P90" s="80"/>
    </row>
    <row r="91" spans="1:58" ht="15" customHeight="1" thickBot="1">
      <c r="A91" s="755"/>
      <c r="B91" s="756"/>
      <c r="C91" s="756"/>
      <c r="D91" s="757" t="s">
        <v>887</v>
      </c>
      <c r="E91" s="758"/>
      <c r="F91" s="759"/>
      <c r="G91" s="759"/>
      <c r="H91" s="749"/>
      <c r="P91" s="80"/>
    </row>
    <row r="92" spans="1:58" ht="15" customHeight="1">
      <c r="A92" s="163"/>
      <c r="B92" s="180"/>
      <c r="C92" s="180"/>
      <c r="D92" s="179"/>
      <c r="E92" s="163"/>
      <c r="F92" s="178"/>
      <c r="G92" s="178"/>
      <c r="H92" s="168"/>
      <c r="P92" s="80"/>
    </row>
    <row r="93" spans="1:58" ht="15" customHeight="1">
      <c r="A93" s="766" t="s">
        <v>56</v>
      </c>
      <c r="B93" s="767" t="s">
        <v>132</v>
      </c>
      <c r="C93" s="767"/>
      <c r="D93" s="768" t="s">
        <v>126</v>
      </c>
      <c r="E93" s="769"/>
      <c r="F93" s="770"/>
      <c r="G93" s="770"/>
      <c r="H93" s="771"/>
      <c r="P93" s="80"/>
      <c r="BB93" s="81"/>
      <c r="BC93" s="81"/>
      <c r="BD93" s="81"/>
      <c r="BE93" s="81"/>
      <c r="BF93" s="81"/>
    </row>
    <row r="94" spans="1:58" ht="15" customHeight="1">
      <c r="A94" s="194">
        <f>+A88+1</f>
        <v>45</v>
      </c>
      <c r="B94" s="721" t="s">
        <v>80</v>
      </c>
      <c r="C94" s="195"/>
      <c r="D94" s="196" t="s">
        <v>768</v>
      </c>
      <c r="E94" s="197" t="s">
        <v>63</v>
      </c>
      <c r="F94" s="199">
        <v>1</v>
      </c>
      <c r="G94" s="199">
        <f>+Okna!G26-Okna!F26</f>
        <v>42412</v>
      </c>
      <c r="H94" s="746">
        <f>F94*G94</f>
        <v>42412</v>
      </c>
      <c r="P94" s="80"/>
      <c r="BB94" s="81"/>
      <c r="BC94" s="81"/>
      <c r="BD94" s="81"/>
      <c r="BE94" s="81"/>
      <c r="BF94" s="81"/>
    </row>
    <row r="95" spans="1:58" ht="15" customHeight="1">
      <c r="A95" s="194">
        <f>A94+1</f>
        <v>46</v>
      </c>
      <c r="B95" s="721" t="s">
        <v>80</v>
      </c>
      <c r="C95" s="195"/>
      <c r="D95" s="196" t="s">
        <v>93</v>
      </c>
      <c r="E95" s="197" t="s">
        <v>63</v>
      </c>
      <c r="F95" s="199">
        <v>1</v>
      </c>
      <c r="G95" s="199">
        <f>+Okna!F26</f>
        <v>6000</v>
      </c>
      <c r="H95" s="746">
        <f>F95*G95</f>
        <v>6000</v>
      </c>
      <c r="I95" s="79"/>
      <c r="J95" s="79"/>
      <c r="P95" s="80"/>
    </row>
    <row r="96" spans="1:58" ht="15" customHeight="1">
      <c r="A96" s="194">
        <f>A95+1</f>
        <v>47</v>
      </c>
      <c r="B96" s="721" t="s">
        <v>80</v>
      </c>
      <c r="C96" s="195"/>
      <c r="D96" s="196" t="s">
        <v>769</v>
      </c>
      <c r="E96" s="197" t="s">
        <v>63</v>
      </c>
      <c r="F96" s="199">
        <v>1</v>
      </c>
      <c r="G96" s="199">
        <f>+Okna!G35-Okna!F35</f>
        <v>0</v>
      </c>
      <c r="H96" s="746">
        <f>F96*G96</f>
        <v>0</v>
      </c>
      <c r="P96" s="80"/>
    </row>
    <row r="97" spans="1:58" ht="15" customHeight="1" thickBot="1">
      <c r="A97" s="194">
        <f>A96+1</f>
        <v>48</v>
      </c>
      <c r="B97" s="721" t="s">
        <v>80</v>
      </c>
      <c r="C97" s="195"/>
      <c r="D97" s="196" t="s">
        <v>94</v>
      </c>
      <c r="E97" s="197" t="s">
        <v>63</v>
      </c>
      <c r="F97" s="199">
        <v>1</v>
      </c>
      <c r="G97" s="199">
        <f>+Okna!F35</f>
        <v>0</v>
      </c>
      <c r="H97" s="746">
        <f>F97*G97</f>
        <v>0</v>
      </c>
      <c r="P97" s="80"/>
    </row>
    <row r="98" spans="1:58" ht="15" customHeight="1" thickBot="1">
      <c r="A98" s="755"/>
      <c r="B98" s="756" t="s">
        <v>57</v>
      </c>
      <c r="C98" s="756"/>
      <c r="D98" s="757" t="str">
        <f>CONCATENATE(B93," ",D93)</f>
        <v>L Zařizovací předměty</v>
      </c>
      <c r="E98" s="758"/>
      <c r="F98" s="759"/>
      <c r="G98" s="759"/>
      <c r="H98" s="749">
        <f>SUM(H94:H97)</f>
        <v>48412</v>
      </c>
      <c r="P98" s="80"/>
    </row>
    <row r="99" spans="1:58" ht="15" customHeight="1">
      <c r="A99" s="183"/>
      <c r="B99" s="184"/>
      <c r="C99" s="184"/>
      <c r="D99" s="185"/>
      <c r="E99" s="183"/>
      <c r="F99" s="186"/>
      <c r="G99" s="186"/>
      <c r="H99" s="168"/>
      <c r="P99" s="80"/>
    </row>
    <row r="100" spans="1:58" ht="15" customHeight="1">
      <c r="A100" s="766" t="s">
        <v>56</v>
      </c>
      <c r="B100" s="767" t="s">
        <v>152</v>
      </c>
      <c r="C100" s="767"/>
      <c r="D100" s="768" t="s">
        <v>129</v>
      </c>
      <c r="E100" s="769"/>
      <c r="F100" s="770"/>
      <c r="G100" s="770"/>
      <c r="H100" s="771"/>
      <c r="P100" s="80"/>
      <c r="BB100" s="81"/>
      <c r="BC100" s="81"/>
      <c r="BD100" s="81"/>
      <c r="BE100" s="81"/>
      <c r="BF100" s="81"/>
    </row>
    <row r="101" spans="1:58" ht="15" customHeight="1">
      <c r="A101" s="194">
        <f>A97+1</f>
        <v>49</v>
      </c>
      <c r="B101" s="721" t="s">
        <v>80</v>
      </c>
      <c r="C101" s="195"/>
      <c r="D101" s="196" t="s">
        <v>650</v>
      </c>
      <c r="E101" s="197" t="s">
        <v>63</v>
      </c>
      <c r="F101" s="199">
        <v>0</v>
      </c>
      <c r="G101" s="199">
        <v>172000</v>
      </c>
      <c r="H101" s="746">
        <f t="shared" ref="H101:H111" si="6">G101*F101</f>
        <v>0</v>
      </c>
      <c r="P101" s="80"/>
      <c r="BB101" s="81"/>
      <c r="BC101" s="81"/>
      <c r="BD101" s="81"/>
      <c r="BE101" s="81"/>
      <c r="BF101" s="81"/>
    </row>
    <row r="102" spans="1:58" ht="15" customHeight="1">
      <c r="A102" s="194"/>
      <c r="B102" s="721" t="s">
        <v>80</v>
      </c>
      <c r="C102" s="195"/>
      <c r="D102" s="196" t="s">
        <v>852</v>
      </c>
      <c r="E102" s="197" t="s">
        <v>60</v>
      </c>
      <c r="F102" s="199"/>
      <c r="G102" s="199">
        <v>1015</v>
      </c>
      <c r="H102" s="746"/>
      <c r="P102" s="80"/>
      <c r="BB102" s="81"/>
      <c r="BC102" s="81"/>
      <c r="BD102" s="81"/>
      <c r="BE102" s="81"/>
      <c r="BF102" s="81"/>
    </row>
    <row r="103" spans="1:58" ht="15" customHeight="1">
      <c r="A103" s="194">
        <f>+A101+1</f>
        <v>50</v>
      </c>
      <c r="B103" s="721" t="s">
        <v>80</v>
      </c>
      <c r="C103" s="195"/>
      <c r="D103" s="196" t="s">
        <v>919</v>
      </c>
      <c r="E103" s="197" t="s">
        <v>60</v>
      </c>
      <c r="F103" s="199">
        <v>0</v>
      </c>
      <c r="G103" s="199">
        <v>1400</v>
      </c>
      <c r="H103" s="746">
        <f>G103*F103</f>
        <v>0</v>
      </c>
      <c r="I103" s="79"/>
      <c r="J103" s="79"/>
      <c r="P103" s="80"/>
    </row>
    <row r="104" spans="1:58" ht="15" customHeight="1">
      <c r="A104" s="194">
        <f t="shared" ref="A104:A111" si="7">+A103+1</f>
        <v>51</v>
      </c>
      <c r="B104" s="721" t="s">
        <v>80</v>
      </c>
      <c r="C104" s="195"/>
      <c r="D104" s="196" t="s">
        <v>920</v>
      </c>
      <c r="E104" s="197" t="s">
        <v>60</v>
      </c>
      <c r="F104" s="199">
        <v>0</v>
      </c>
      <c r="G104" s="199">
        <v>1400</v>
      </c>
      <c r="H104" s="746">
        <f t="shared" si="6"/>
        <v>0</v>
      </c>
      <c r="P104" s="80"/>
    </row>
    <row r="105" spans="1:58" ht="15" customHeight="1">
      <c r="A105" s="194">
        <f t="shared" si="7"/>
        <v>52</v>
      </c>
      <c r="B105" s="721" t="s">
        <v>80</v>
      </c>
      <c r="C105" s="195"/>
      <c r="D105" s="196" t="s">
        <v>303</v>
      </c>
      <c r="E105" s="197" t="s">
        <v>63</v>
      </c>
      <c r="F105" s="199">
        <v>0</v>
      </c>
      <c r="G105" s="199">
        <v>905</v>
      </c>
      <c r="H105" s="746">
        <f t="shared" si="6"/>
        <v>0</v>
      </c>
      <c r="P105" s="80"/>
    </row>
    <row r="106" spans="1:58" ht="15" customHeight="1">
      <c r="A106" s="194">
        <f t="shared" si="7"/>
        <v>53</v>
      </c>
      <c r="B106" s="721" t="s">
        <v>80</v>
      </c>
      <c r="C106" s="195"/>
      <c r="D106" s="196" t="s">
        <v>304</v>
      </c>
      <c r="E106" s="197" t="s">
        <v>63</v>
      </c>
      <c r="F106" s="199">
        <v>0</v>
      </c>
      <c r="G106" s="199">
        <v>905</v>
      </c>
      <c r="H106" s="746">
        <f t="shared" si="6"/>
        <v>0</v>
      </c>
      <c r="P106" s="80"/>
    </row>
    <row r="107" spans="1:58" ht="15" customHeight="1">
      <c r="A107" s="194">
        <f t="shared" si="7"/>
        <v>54</v>
      </c>
      <c r="B107" s="721" t="s">
        <v>80</v>
      </c>
      <c r="C107" s="195"/>
      <c r="D107" s="196" t="s">
        <v>472</v>
      </c>
      <c r="E107" s="197" t="s">
        <v>63</v>
      </c>
      <c r="F107" s="199">
        <v>0</v>
      </c>
      <c r="G107" s="199">
        <v>18500</v>
      </c>
      <c r="H107" s="746">
        <f t="shared" si="6"/>
        <v>0</v>
      </c>
      <c r="P107" s="80"/>
    </row>
    <row r="108" spans="1:58" ht="15" customHeight="1">
      <c r="A108" s="194">
        <f t="shared" si="7"/>
        <v>55</v>
      </c>
      <c r="B108" s="721" t="s">
        <v>80</v>
      </c>
      <c r="C108" s="195"/>
      <c r="D108" s="196" t="s">
        <v>473</v>
      </c>
      <c r="E108" s="197" t="s">
        <v>63</v>
      </c>
      <c r="F108" s="199">
        <v>0</v>
      </c>
      <c r="G108" s="199">
        <v>29100</v>
      </c>
      <c r="H108" s="746">
        <f t="shared" si="6"/>
        <v>0</v>
      </c>
      <c r="P108" s="80"/>
    </row>
    <row r="109" spans="1:58" ht="15" customHeight="1">
      <c r="A109" s="194">
        <f t="shared" si="7"/>
        <v>56</v>
      </c>
      <c r="B109" s="721" t="s">
        <v>80</v>
      </c>
      <c r="C109" s="195"/>
      <c r="D109" s="697" t="s">
        <v>417</v>
      </c>
      <c r="E109" s="698" t="s">
        <v>63</v>
      </c>
      <c r="F109" s="699">
        <f>'Výkaz výměr'!N124+'Výkaz výměr'!N136</f>
        <v>68.06</v>
      </c>
      <c r="G109" s="699">
        <v>490</v>
      </c>
      <c r="H109" s="746">
        <f>G109*F109</f>
        <v>33349.4</v>
      </c>
      <c r="P109" s="80"/>
    </row>
    <row r="110" spans="1:58" ht="15" customHeight="1">
      <c r="A110" s="194">
        <f t="shared" si="7"/>
        <v>57</v>
      </c>
      <c r="B110" s="721" t="s">
        <v>80</v>
      </c>
      <c r="C110" s="195"/>
      <c r="D110" s="697" t="s">
        <v>418</v>
      </c>
      <c r="E110" s="698" t="s">
        <v>63</v>
      </c>
      <c r="F110" s="699">
        <f>+'Výkaz výměr'!N125+'Výkaz výměr'!N137</f>
        <v>0</v>
      </c>
      <c r="G110" s="699">
        <v>490</v>
      </c>
      <c r="H110" s="746">
        <f t="shared" si="6"/>
        <v>0</v>
      </c>
      <c r="P110" s="80"/>
    </row>
    <row r="111" spans="1:58" ht="15" customHeight="1" thickBot="1">
      <c r="A111" s="863">
        <f t="shared" si="7"/>
        <v>58</v>
      </c>
      <c r="B111" s="721" t="s">
        <v>80</v>
      </c>
      <c r="C111" s="195"/>
      <c r="D111" s="196" t="s">
        <v>305</v>
      </c>
      <c r="E111" s="197" t="s">
        <v>63</v>
      </c>
      <c r="F111" s="199">
        <f>'Výkaz výměr'!N146</f>
        <v>0</v>
      </c>
      <c r="G111" s="199">
        <v>48492</v>
      </c>
      <c r="H111" s="746">
        <f t="shared" si="6"/>
        <v>0</v>
      </c>
      <c r="P111" s="80"/>
    </row>
    <row r="112" spans="1:58" ht="15" customHeight="1" thickBot="1">
      <c r="A112" s="755"/>
      <c r="B112" s="756" t="s">
        <v>57</v>
      </c>
      <c r="C112" s="756"/>
      <c r="D112" s="757" t="str">
        <f>CONCATENATE(B100," ",D100)</f>
        <v>M Vytápění</v>
      </c>
      <c r="E112" s="758"/>
      <c r="F112" s="759"/>
      <c r="G112" s="759"/>
      <c r="H112" s="749">
        <f>H101+H103+H104+H105+H106+H107+H108+H109+H110+H111+H102</f>
        <v>33349.4</v>
      </c>
      <c r="P112" s="80"/>
    </row>
    <row r="113" spans="1:58" ht="15" customHeight="1">
      <c r="A113" s="163"/>
      <c r="B113" s="180"/>
      <c r="C113" s="180"/>
      <c r="D113" s="179"/>
      <c r="E113" s="163"/>
      <c r="F113" s="178"/>
      <c r="G113" s="178"/>
      <c r="H113" s="168"/>
      <c r="P113" s="80"/>
    </row>
    <row r="114" spans="1:58" ht="15" customHeight="1">
      <c r="A114" s="766" t="s">
        <v>56</v>
      </c>
      <c r="B114" s="767" t="s">
        <v>17</v>
      </c>
      <c r="C114" s="767"/>
      <c r="D114" s="768" t="s">
        <v>131</v>
      </c>
      <c r="E114" s="769"/>
      <c r="F114" s="770"/>
      <c r="G114" s="770"/>
      <c r="H114" s="771"/>
      <c r="P114" s="80"/>
      <c r="BB114" s="81"/>
      <c r="BC114" s="81"/>
      <c r="BD114" s="81"/>
      <c r="BE114" s="81"/>
      <c r="BF114" s="81"/>
    </row>
    <row r="115" spans="1:58" ht="15" customHeight="1">
      <c r="A115" s="194">
        <f>+A111+1</f>
        <v>59</v>
      </c>
      <c r="B115" s="721" t="s">
        <v>739</v>
      </c>
      <c r="C115" s="195"/>
      <c r="D115" s="196" t="s">
        <v>791</v>
      </c>
      <c r="E115" s="197" t="s">
        <v>60</v>
      </c>
      <c r="F115" s="199">
        <f>'Výkaz výměr'!K64</f>
        <v>3.2130000000000001</v>
      </c>
      <c r="G115" s="199">
        <v>300</v>
      </c>
      <c r="H115" s="746">
        <f t="shared" ref="H115:H126" si="8">F115*G115</f>
        <v>963.9</v>
      </c>
      <c r="P115" s="80"/>
      <c r="BB115" s="81"/>
      <c r="BC115" s="81"/>
      <c r="BD115" s="81"/>
      <c r="BE115" s="81"/>
      <c r="BF115" s="81"/>
    </row>
    <row r="116" spans="1:58" ht="15" customHeight="1">
      <c r="A116" s="194">
        <f>+A115+1</f>
        <v>60</v>
      </c>
      <c r="B116" s="721" t="s">
        <v>739</v>
      </c>
      <c r="C116" s="195"/>
      <c r="D116" s="196" t="s">
        <v>790</v>
      </c>
      <c r="E116" s="197" t="s">
        <v>60</v>
      </c>
      <c r="F116" s="199">
        <f>'Výkaz výměr'!N124</f>
        <v>3.06</v>
      </c>
      <c r="G116" s="199">
        <v>300</v>
      </c>
      <c r="H116" s="746">
        <f>F116*G116</f>
        <v>918</v>
      </c>
      <c r="P116" s="80"/>
      <c r="BB116" s="81"/>
      <c r="BC116" s="81"/>
      <c r="BD116" s="81"/>
      <c r="BE116" s="81"/>
      <c r="BF116" s="81"/>
    </row>
    <row r="117" spans="1:58" ht="15" customHeight="1">
      <c r="A117" s="194">
        <f t="shared" ref="A117:A127" si="9">+A116+1</f>
        <v>61</v>
      </c>
      <c r="B117" s="721" t="s">
        <v>739</v>
      </c>
      <c r="C117" s="195"/>
      <c r="D117" s="196" t="s">
        <v>793</v>
      </c>
      <c r="E117" s="197" t="s">
        <v>60</v>
      </c>
      <c r="F117" s="199">
        <f>'Výkaz výměr'!K73</f>
        <v>28.56</v>
      </c>
      <c r="G117" s="199">
        <v>300</v>
      </c>
      <c r="H117" s="746">
        <f>F117*G117</f>
        <v>8568</v>
      </c>
      <c r="I117" s="79"/>
      <c r="J117" s="79"/>
      <c r="P117" s="80"/>
    </row>
    <row r="118" spans="1:58" ht="15" customHeight="1">
      <c r="A118" s="194">
        <f t="shared" si="9"/>
        <v>62</v>
      </c>
      <c r="B118" s="721" t="s">
        <v>739</v>
      </c>
      <c r="C118" s="195"/>
      <c r="D118" s="196" t="s">
        <v>792</v>
      </c>
      <c r="E118" s="197" t="s">
        <v>60</v>
      </c>
      <c r="F118" s="199">
        <f>'Výkaz výměr'!N133</f>
        <v>27.2</v>
      </c>
      <c r="G118" s="199">
        <v>300</v>
      </c>
      <c r="H118" s="746">
        <f>F118*G118</f>
        <v>8160</v>
      </c>
      <c r="I118" s="79"/>
      <c r="J118" s="79"/>
      <c r="P118" s="80"/>
    </row>
    <row r="119" spans="1:58" ht="15" customHeight="1">
      <c r="A119" s="194">
        <f t="shared" si="9"/>
        <v>63</v>
      </c>
      <c r="B119" s="721" t="s">
        <v>739</v>
      </c>
      <c r="C119" s="195"/>
      <c r="D119" s="196" t="s">
        <v>745</v>
      </c>
      <c r="E119" s="197" t="s">
        <v>60</v>
      </c>
      <c r="F119" s="199">
        <f>'Výkaz výměr'!N136</f>
        <v>65</v>
      </c>
      <c r="G119" s="199">
        <v>600</v>
      </c>
      <c r="H119" s="746">
        <f>F119*G119</f>
        <v>39000</v>
      </c>
      <c r="P119" s="80"/>
    </row>
    <row r="120" spans="1:58" ht="15" customHeight="1">
      <c r="A120" s="194">
        <f t="shared" si="9"/>
        <v>64</v>
      </c>
      <c r="B120" s="721" t="s">
        <v>740</v>
      </c>
      <c r="C120" s="195"/>
      <c r="D120" s="196" t="s">
        <v>791</v>
      </c>
      <c r="E120" s="197" t="s">
        <v>60</v>
      </c>
      <c r="F120" s="199">
        <f>'Výkaz výměr'!K66</f>
        <v>0</v>
      </c>
      <c r="G120" s="199">
        <v>300</v>
      </c>
      <c r="H120" s="746">
        <f t="shared" si="8"/>
        <v>0</v>
      </c>
      <c r="P120" s="80"/>
    </row>
    <row r="121" spans="1:58" ht="15" customHeight="1">
      <c r="A121" s="194">
        <f t="shared" si="9"/>
        <v>65</v>
      </c>
      <c r="B121" s="721" t="s">
        <v>740</v>
      </c>
      <c r="C121" s="195"/>
      <c r="D121" s="196" t="s">
        <v>790</v>
      </c>
      <c r="E121" s="197" t="s">
        <v>60</v>
      </c>
      <c r="F121" s="199">
        <f>+'Výkaz výměr'!N125</f>
        <v>0</v>
      </c>
      <c r="G121" s="199">
        <v>300</v>
      </c>
      <c r="H121" s="746">
        <f t="shared" si="8"/>
        <v>0</v>
      </c>
      <c r="P121" s="80"/>
    </row>
    <row r="122" spans="1:58" ht="15" customHeight="1">
      <c r="A122" s="194">
        <f t="shared" si="9"/>
        <v>66</v>
      </c>
      <c r="B122" s="721" t="s">
        <v>740</v>
      </c>
      <c r="C122" s="195"/>
      <c r="D122" s="196" t="s">
        <v>793</v>
      </c>
      <c r="E122" s="197" t="s">
        <v>60</v>
      </c>
      <c r="F122" s="199">
        <f>'Výkaz výměr'!K74</f>
        <v>0</v>
      </c>
      <c r="G122" s="199">
        <v>300</v>
      </c>
      <c r="H122" s="746">
        <f t="shared" si="8"/>
        <v>0</v>
      </c>
      <c r="P122" s="80"/>
    </row>
    <row r="123" spans="1:58" ht="15" customHeight="1">
      <c r="A123" s="194">
        <f t="shared" si="9"/>
        <v>67</v>
      </c>
      <c r="B123" s="721" t="s">
        <v>740</v>
      </c>
      <c r="C123" s="195"/>
      <c r="D123" s="196" t="s">
        <v>792</v>
      </c>
      <c r="E123" s="197" t="s">
        <v>60</v>
      </c>
      <c r="F123" s="199">
        <f>+'Výkaz výměr'!N134</f>
        <v>0</v>
      </c>
      <c r="G123" s="199">
        <v>300</v>
      </c>
      <c r="H123" s="746">
        <f t="shared" si="8"/>
        <v>0</v>
      </c>
      <c r="P123" s="80"/>
    </row>
    <row r="124" spans="1:58" ht="15" customHeight="1">
      <c r="A124" s="194">
        <f t="shared" si="9"/>
        <v>68</v>
      </c>
      <c r="B124" s="721" t="s">
        <v>740</v>
      </c>
      <c r="C124" s="195"/>
      <c r="D124" s="196" t="s">
        <v>745</v>
      </c>
      <c r="E124" s="197" t="s">
        <v>60</v>
      </c>
      <c r="F124" s="199">
        <f>'Výkaz výměr'!N137</f>
        <v>0</v>
      </c>
      <c r="G124" s="199">
        <v>600</v>
      </c>
      <c r="H124" s="746">
        <f t="shared" si="8"/>
        <v>0</v>
      </c>
      <c r="P124" s="80"/>
    </row>
    <row r="125" spans="1:58" ht="15" customHeight="1">
      <c r="A125" s="194">
        <f t="shared" si="9"/>
        <v>69</v>
      </c>
      <c r="B125" s="721" t="s">
        <v>794</v>
      </c>
      <c r="C125" s="195"/>
      <c r="D125" s="196" t="s">
        <v>770</v>
      </c>
      <c r="E125" s="197" t="s">
        <v>316</v>
      </c>
      <c r="F125" s="199"/>
      <c r="G125" s="199">
        <v>2300</v>
      </c>
      <c r="H125" s="746">
        <f t="shared" si="8"/>
        <v>0</v>
      </c>
      <c r="P125" s="80"/>
    </row>
    <row r="126" spans="1:58" ht="15" customHeight="1">
      <c r="A126" s="194">
        <f t="shared" si="9"/>
        <v>70</v>
      </c>
      <c r="B126" s="721" t="s">
        <v>773</v>
      </c>
      <c r="C126" s="195"/>
      <c r="D126" s="196" t="s">
        <v>771</v>
      </c>
      <c r="E126" s="197" t="s">
        <v>60</v>
      </c>
      <c r="F126" s="199">
        <f>+'Výkaz výměr'!N127+'Výkaz výměr'!N128+'Výkaz výměr'!N133/2+'Výkaz výměr'!N134/2</f>
        <v>16.66</v>
      </c>
      <c r="G126" s="199">
        <v>100</v>
      </c>
      <c r="H126" s="746">
        <f t="shared" si="8"/>
        <v>1666</v>
      </c>
      <c r="P126" s="80"/>
    </row>
    <row r="127" spans="1:58" ht="15" customHeight="1" thickBot="1">
      <c r="A127" s="194">
        <f t="shared" si="9"/>
        <v>71</v>
      </c>
      <c r="B127" s="721" t="s">
        <v>773</v>
      </c>
      <c r="C127" s="195"/>
      <c r="D127" s="196" t="s">
        <v>772</v>
      </c>
      <c r="E127" s="197" t="s">
        <v>60</v>
      </c>
      <c r="F127" s="199">
        <f>+'Výkaz výměr'!N124+'Výkaz výměr'!N125+'Výkaz výměr'!N133+'Výkaz výměr'!N134</f>
        <v>30.259999999999998</v>
      </c>
      <c r="G127" s="199">
        <v>90</v>
      </c>
      <c r="H127" s="746">
        <f>G127*F127+Položky!H77</f>
        <v>3543.4799999999996</v>
      </c>
      <c r="P127" s="80"/>
    </row>
    <row r="128" spans="1:58" ht="15" customHeight="1" thickBot="1">
      <c r="A128" s="755"/>
      <c r="B128" s="756" t="s">
        <v>57</v>
      </c>
      <c r="C128" s="756"/>
      <c r="D128" s="757" t="str">
        <f>CONCATENATE(B114," ",D114)</f>
        <v>N Podlahy a obklady</v>
      </c>
      <c r="E128" s="758"/>
      <c r="F128" s="759"/>
      <c r="G128" s="759"/>
      <c r="H128" s="749">
        <f>SUM(H115:H127)</f>
        <v>62819.380000000005</v>
      </c>
      <c r="P128" s="80"/>
    </row>
    <row r="129" spans="1:58" ht="15" customHeight="1">
      <c r="A129" s="163"/>
      <c r="B129" s="180"/>
      <c r="C129" s="180"/>
      <c r="D129" s="179"/>
      <c r="E129" s="163"/>
      <c r="F129" s="178"/>
      <c r="G129" s="178"/>
      <c r="H129" s="168"/>
      <c r="P129" s="80"/>
    </row>
    <row r="130" spans="1:58" ht="15" customHeight="1">
      <c r="A130" s="766" t="s">
        <v>56</v>
      </c>
      <c r="B130" s="767" t="s">
        <v>135</v>
      </c>
      <c r="C130" s="767"/>
      <c r="D130" s="768" t="s">
        <v>133</v>
      </c>
      <c r="E130" s="769"/>
      <c r="F130" s="770"/>
      <c r="G130" s="770"/>
      <c r="H130" s="771"/>
      <c r="P130" s="80"/>
      <c r="BB130" s="81"/>
      <c r="BC130" s="81"/>
      <c r="BD130" s="81"/>
      <c r="BE130" s="81"/>
      <c r="BF130" s="81"/>
    </row>
    <row r="131" spans="1:58" ht="15" customHeight="1">
      <c r="A131" s="194">
        <f>A127+1</f>
        <v>72</v>
      </c>
      <c r="B131" s="195" t="s">
        <v>80</v>
      </c>
      <c r="C131" s="195"/>
      <c r="D131" s="196" t="s">
        <v>106</v>
      </c>
      <c r="E131" s="197" t="s">
        <v>63</v>
      </c>
      <c r="F131" s="199">
        <f>+'Výkaz výměr'!N124+'Výkaz výměr'!N136</f>
        <v>68.06</v>
      </c>
      <c r="G131" s="199">
        <v>1200</v>
      </c>
      <c r="H131" s="746">
        <f>G131*F131</f>
        <v>81672</v>
      </c>
      <c r="P131" s="80"/>
      <c r="BB131" s="81"/>
      <c r="BC131" s="81"/>
      <c r="BD131" s="81"/>
      <c r="BE131" s="81"/>
      <c r="BF131" s="81"/>
    </row>
    <row r="132" spans="1:58" ht="15" customHeight="1" thickBot="1">
      <c r="A132" s="194">
        <f>A131+1</f>
        <v>73</v>
      </c>
      <c r="B132" s="195" t="s">
        <v>80</v>
      </c>
      <c r="C132" s="195"/>
      <c r="D132" s="196" t="s">
        <v>107</v>
      </c>
      <c r="E132" s="197" t="s">
        <v>63</v>
      </c>
      <c r="F132" s="199">
        <f>+'Výkaz výměr'!N125+'Výkaz výměr'!N137</f>
        <v>0</v>
      </c>
      <c r="G132" s="199">
        <v>700</v>
      </c>
      <c r="H132" s="746">
        <f>F132*G132</f>
        <v>0</v>
      </c>
      <c r="I132" s="79"/>
      <c r="J132" s="79"/>
      <c r="P132" s="80"/>
    </row>
    <row r="133" spans="1:58" ht="15" customHeight="1" thickBot="1">
      <c r="A133" s="755"/>
      <c r="B133" s="756" t="s">
        <v>57</v>
      </c>
      <c r="C133" s="756"/>
      <c r="D133" s="757" t="str">
        <f>CONCATENATE(B130," ",D130)</f>
        <v>O Elektroinstalace</v>
      </c>
      <c r="E133" s="758"/>
      <c r="F133" s="759"/>
      <c r="G133" s="759"/>
      <c r="H133" s="749">
        <f>SUM(H131:H132)</f>
        <v>81672</v>
      </c>
      <c r="P133" s="80"/>
    </row>
    <row r="134" spans="1:58" ht="15" customHeight="1">
      <c r="A134" s="163"/>
      <c r="B134" s="180"/>
      <c r="C134" s="180"/>
      <c r="D134" s="179"/>
      <c r="E134" s="163"/>
      <c r="F134" s="178"/>
      <c r="G134" s="178"/>
      <c r="H134" s="168"/>
      <c r="P134" s="80"/>
    </row>
    <row r="135" spans="1:58" ht="15" customHeight="1">
      <c r="A135" s="766" t="s">
        <v>56</v>
      </c>
      <c r="B135" s="767" t="s">
        <v>137</v>
      </c>
      <c r="C135" s="767"/>
      <c r="D135" s="768" t="s">
        <v>134</v>
      </c>
      <c r="E135" s="769"/>
      <c r="F135" s="770"/>
      <c r="G135" s="770"/>
      <c r="H135" s="771"/>
      <c r="P135" s="80"/>
      <c r="BB135" s="81"/>
      <c r="BC135" s="81"/>
      <c r="BD135" s="81"/>
      <c r="BE135" s="81"/>
      <c r="BF135" s="81"/>
    </row>
    <row r="136" spans="1:58" ht="15" customHeight="1">
      <c r="A136" s="194">
        <f>A132+1</f>
        <v>74</v>
      </c>
      <c r="B136" s="721" t="s">
        <v>80</v>
      </c>
      <c r="C136" s="195"/>
      <c r="D136" s="196" t="s">
        <v>738</v>
      </c>
      <c r="E136" s="197" t="s">
        <v>65</v>
      </c>
      <c r="F136" s="199">
        <f>'Výkaz výměr'!J76</f>
        <v>8</v>
      </c>
      <c r="G136" s="199">
        <v>4700</v>
      </c>
      <c r="H136" s="746">
        <f>F136*G136</f>
        <v>37600</v>
      </c>
      <c r="P136" s="80"/>
      <c r="BB136" s="81"/>
      <c r="BC136" s="81"/>
      <c r="BD136" s="81"/>
      <c r="BE136" s="81"/>
      <c r="BF136" s="81"/>
    </row>
    <row r="137" spans="1:58" ht="15" customHeight="1">
      <c r="A137" s="194">
        <f>+A136+1</f>
        <v>75</v>
      </c>
      <c r="B137" s="721" t="s">
        <v>80</v>
      </c>
      <c r="C137" s="195"/>
      <c r="D137" s="196" t="s">
        <v>724</v>
      </c>
      <c r="E137" s="197" t="s">
        <v>65</v>
      </c>
      <c r="F137" s="199"/>
      <c r="G137" s="199">
        <v>8500</v>
      </c>
      <c r="H137" s="746">
        <f>F137*G137</f>
        <v>0</v>
      </c>
      <c r="P137" s="80"/>
      <c r="BB137" s="81"/>
      <c r="BC137" s="81"/>
      <c r="BD137" s="81"/>
      <c r="BE137" s="81"/>
      <c r="BF137" s="81"/>
    </row>
    <row r="138" spans="1:58" ht="15" customHeight="1">
      <c r="A138" s="194">
        <f>+A137+1</f>
        <v>76</v>
      </c>
      <c r="B138" s="721" t="s">
        <v>80</v>
      </c>
      <c r="C138" s="195"/>
      <c r="D138" s="196" t="s">
        <v>746</v>
      </c>
      <c r="E138" s="197" t="s">
        <v>63</v>
      </c>
      <c r="F138" s="199">
        <f>'Výkaz výměr'!N145</f>
        <v>0</v>
      </c>
      <c r="G138" s="199">
        <v>75000</v>
      </c>
      <c r="H138" s="746">
        <f>F138*G138</f>
        <v>0</v>
      </c>
      <c r="I138" s="79"/>
      <c r="J138" s="79"/>
      <c r="P138" s="80"/>
    </row>
    <row r="139" spans="1:58" ht="24.75" customHeight="1">
      <c r="A139" s="194">
        <f>+A138+1</f>
        <v>77</v>
      </c>
      <c r="B139" s="721" t="s">
        <v>80</v>
      </c>
      <c r="C139" s="195"/>
      <c r="D139" s="196" t="s">
        <v>797</v>
      </c>
      <c r="E139" s="197" t="s">
        <v>63</v>
      </c>
      <c r="F139" s="199">
        <f>'Výkaz výměr'!N156</f>
        <v>0</v>
      </c>
      <c r="G139" s="199">
        <v>5050</v>
      </c>
      <c r="H139" s="746">
        <f>F139*G139</f>
        <v>0</v>
      </c>
      <c r="P139" s="80"/>
    </row>
    <row r="140" spans="1:58" ht="15" customHeight="1">
      <c r="A140" s="194">
        <f>+A139+1</f>
        <v>78</v>
      </c>
      <c r="B140" s="721" t="s">
        <v>80</v>
      </c>
      <c r="C140" s="195"/>
      <c r="D140" s="196" t="s">
        <v>169</v>
      </c>
      <c r="E140" s="197" t="s">
        <v>63</v>
      </c>
      <c r="F140" s="199">
        <f>'Výkaz výměr'!N142</f>
        <v>0</v>
      </c>
      <c r="G140" s="199">
        <v>30000</v>
      </c>
      <c r="H140" s="746">
        <f>F140*G140</f>
        <v>0</v>
      </c>
      <c r="P140" s="80"/>
    </row>
    <row r="141" spans="1:58" ht="15" customHeight="1">
      <c r="A141" s="194">
        <f>+A140+1</f>
        <v>79</v>
      </c>
      <c r="B141" s="772" t="s">
        <v>80</v>
      </c>
      <c r="C141" s="496"/>
      <c r="D141" s="211" t="s">
        <v>850</v>
      </c>
      <c r="E141" s="497" t="s">
        <v>60</v>
      </c>
      <c r="F141" s="199"/>
      <c r="G141" s="199">
        <v>2500</v>
      </c>
      <c r="H141" s="746"/>
      <c r="P141" s="80"/>
    </row>
    <row r="142" spans="1:58" ht="15" customHeight="1" thickBot="1">
      <c r="A142" s="194"/>
      <c r="B142" s="195"/>
      <c r="C142" s="195"/>
      <c r="D142" s="196"/>
      <c r="E142" s="197"/>
      <c r="F142" s="199"/>
      <c r="G142" s="199"/>
      <c r="H142" s="746"/>
      <c r="P142" s="80"/>
    </row>
    <row r="143" spans="1:58" ht="15" customHeight="1" thickBot="1">
      <c r="A143" s="755"/>
      <c r="B143" s="756" t="s">
        <v>57</v>
      </c>
      <c r="C143" s="756"/>
      <c r="D143" s="757" t="str">
        <f>CONCATENATE(B135," ",D135)</f>
        <v>P Vnitřní dveře a schody</v>
      </c>
      <c r="E143" s="758"/>
      <c r="F143" s="759"/>
      <c r="G143" s="759"/>
      <c r="H143" s="749">
        <f>SUM(H136:H142)</f>
        <v>37600</v>
      </c>
      <c r="P143" s="80"/>
    </row>
    <row r="144" spans="1:58" ht="15" customHeight="1">
      <c r="F144" s="68"/>
      <c r="P144" s="80"/>
    </row>
    <row r="145" spans="1:58" ht="15" customHeight="1">
      <c r="A145" s="766" t="s">
        <v>56</v>
      </c>
      <c r="B145" s="767" t="s">
        <v>843</v>
      </c>
      <c r="C145" s="767"/>
      <c r="D145" s="768" t="s">
        <v>844</v>
      </c>
      <c r="E145" s="769"/>
      <c r="F145" s="770"/>
      <c r="G145" s="770"/>
      <c r="H145" s="771"/>
      <c r="P145" s="80"/>
    </row>
    <row r="146" spans="1:58" ht="15" customHeight="1">
      <c r="A146" s="194">
        <v>82</v>
      </c>
      <c r="B146" s="721" t="s">
        <v>80</v>
      </c>
      <c r="C146" s="195"/>
      <c r="D146" s="196" t="s">
        <v>866</v>
      </c>
      <c r="E146" s="197" t="s">
        <v>75</v>
      </c>
      <c r="F146" s="199">
        <v>0</v>
      </c>
      <c r="G146" s="199">
        <v>1080</v>
      </c>
      <c r="H146" s="746">
        <f>F146*G146</f>
        <v>0</v>
      </c>
      <c r="P146" s="80"/>
      <c r="BB146" s="81"/>
      <c r="BC146" s="81"/>
      <c r="BD146" s="81"/>
      <c r="BE146" s="81"/>
      <c r="BF146" s="81"/>
    </row>
    <row r="147" spans="1:58">
      <c r="A147" s="194">
        <f>A146+1</f>
        <v>83</v>
      </c>
      <c r="B147" s="721" t="s">
        <v>80</v>
      </c>
      <c r="C147" s="195"/>
      <c r="D147" s="196" t="s">
        <v>865</v>
      </c>
      <c r="E147" s="197" t="s">
        <v>75</v>
      </c>
      <c r="F147" s="199">
        <v>0</v>
      </c>
      <c r="G147" s="199">
        <v>1720</v>
      </c>
      <c r="H147" s="746">
        <f>F147*G147</f>
        <v>0</v>
      </c>
    </row>
    <row r="148" spans="1:58">
      <c r="A148" s="194">
        <f>A147+1</f>
        <v>84</v>
      </c>
      <c r="B148" s="721" t="s">
        <v>80</v>
      </c>
      <c r="C148" s="195"/>
      <c r="D148" s="196" t="s">
        <v>867</v>
      </c>
      <c r="E148" s="197" t="s">
        <v>75</v>
      </c>
      <c r="F148" s="199">
        <v>0</v>
      </c>
      <c r="G148" s="199">
        <v>950</v>
      </c>
      <c r="H148" s="746">
        <f>F148*G148</f>
        <v>0</v>
      </c>
    </row>
    <row r="149" spans="1:58" ht="13.8" thickBot="1">
      <c r="A149" s="194">
        <f>A148+1</f>
        <v>85</v>
      </c>
      <c r="B149" s="721" t="s">
        <v>80</v>
      </c>
      <c r="C149" s="195"/>
      <c r="D149" s="196" t="s">
        <v>868</v>
      </c>
      <c r="E149" s="197" t="s">
        <v>75</v>
      </c>
      <c r="F149" s="199">
        <v>0</v>
      </c>
      <c r="G149" s="199">
        <v>960</v>
      </c>
      <c r="H149" s="746">
        <f>F149*G149</f>
        <v>0</v>
      </c>
    </row>
    <row r="150" spans="1:58" ht="13.8" thickBot="1">
      <c r="A150" s="755"/>
      <c r="B150" s="756" t="s">
        <v>57</v>
      </c>
      <c r="C150" s="756"/>
      <c r="D150" s="757" t="str">
        <f>CONCATENATE(B145," ",D145)</f>
        <v>Q Přípojky</v>
      </c>
      <c r="E150" s="758"/>
      <c r="F150" s="759"/>
      <c r="G150" s="759"/>
      <c r="H150" s="749">
        <f>SUM(H146:H149)</f>
        <v>0</v>
      </c>
    </row>
    <row r="151" spans="1:58">
      <c r="F151" s="68"/>
    </row>
    <row r="152" spans="1:58">
      <c r="F152" s="68"/>
    </row>
    <row r="153" spans="1:58">
      <c r="F153" s="68"/>
    </row>
    <row r="154" spans="1:58">
      <c r="F154" s="68"/>
    </row>
    <row r="155" spans="1:58">
      <c r="F155" s="68"/>
    </row>
    <row r="156" spans="1:58">
      <c r="F156" s="68"/>
    </row>
    <row r="157" spans="1:58">
      <c r="F157" s="68"/>
    </row>
    <row r="158" spans="1:58">
      <c r="F158" s="68"/>
    </row>
    <row r="159" spans="1:58">
      <c r="F159" s="68"/>
    </row>
    <row r="160" spans="1:58">
      <c r="F160" s="68"/>
    </row>
    <row r="161" spans="1:8">
      <c r="F161" s="68"/>
    </row>
    <row r="162" spans="1:8">
      <c r="F162" s="68"/>
    </row>
    <row r="163" spans="1:8">
      <c r="F163" s="68"/>
    </row>
    <row r="164" spans="1:8">
      <c r="F164" s="68"/>
    </row>
    <row r="165" spans="1:8">
      <c r="F165" s="68"/>
    </row>
    <row r="166" spans="1:8">
      <c r="F166" s="68"/>
    </row>
    <row r="167" spans="1:8">
      <c r="A167" s="82"/>
      <c r="B167" s="82"/>
      <c r="C167" s="82"/>
      <c r="D167" s="82"/>
      <c r="E167" s="82"/>
      <c r="F167" s="82"/>
      <c r="G167" s="82"/>
      <c r="H167" s="751"/>
    </row>
    <row r="168" spans="1:8">
      <c r="A168" s="82"/>
      <c r="B168" s="82"/>
      <c r="C168" s="82"/>
      <c r="D168" s="82"/>
      <c r="E168" s="82"/>
      <c r="F168" s="82"/>
      <c r="G168" s="82"/>
      <c r="H168" s="751"/>
    </row>
    <row r="169" spans="1:8">
      <c r="A169" s="82"/>
      <c r="B169" s="82"/>
      <c r="C169" s="82"/>
      <c r="D169" s="82"/>
      <c r="E169" s="82"/>
      <c r="F169" s="82"/>
      <c r="G169" s="82"/>
      <c r="H169" s="751"/>
    </row>
    <row r="170" spans="1:8">
      <c r="A170" s="82"/>
      <c r="B170" s="82"/>
      <c r="C170" s="82"/>
      <c r="D170" s="82"/>
      <c r="E170" s="82"/>
      <c r="F170" s="82"/>
      <c r="G170" s="82"/>
      <c r="H170" s="751"/>
    </row>
    <row r="171" spans="1:8">
      <c r="F171" s="68"/>
    </row>
    <row r="172" spans="1:8">
      <c r="F172" s="68"/>
    </row>
    <row r="173" spans="1:8">
      <c r="F173" s="68"/>
    </row>
    <row r="174" spans="1:8">
      <c r="F174" s="68"/>
    </row>
    <row r="175" spans="1:8">
      <c r="F175" s="68"/>
    </row>
    <row r="176" spans="1:8">
      <c r="F176" s="68"/>
    </row>
    <row r="177" spans="6:6">
      <c r="F177" s="68"/>
    </row>
    <row r="178" spans="6:6">
      <c r="F178" s="68"/>
    </row>
    <row r="179" spans="6:6">
      <c r="F179" s="68"/>
    </row>
    <row r="180" spans="6:6">
      <c r="F180" s="68"/>
    </row>
    <row r="181" spans="6:6">
      <c r="F181" s="68"/>
    </row>
    <row r="182" spans="6:6">
      <c r="F182" s="68"/>
    </row>
    <row r="183" spans="6:6">
      <c r="F183" s="68"/>
    </row>
    <row r="184" spans="6:6">
      <c r="F184" s="68"/>
    </row>
    <row r="185" spans="6:6">
      <c r="F185" s="68"/>
    </row>
    <row r="186" spans="6:6">
      <c r="F186" s="68"/>
    </row>
    <row r="187" spans="6:6">
      <c r="F187" s="68"/>
    </row>
    <row r="188" spans="6:6">
      <c r="F188" s="68"/>
    </row>
    <row r="189" spans="6:6">
      <c r="F189" s="68"/>
    </row>
    <row r="190" spans="6:6">
      <c r="F190" s="68"/>
    </row>
    <row r="191" spans="6:6">
      <c r="F191" s="68"/>
    </row>
    <row r="192" spans="6:6">
      <c r="F192" s="68"/>
    </row>
    <row r="193" spans="1:8">
      <c r="F193" s="68"/>
    </row>
    <row r="194" spans="1:8">
      <c r="F194" s="68"/>
    </row>
    <row r="195" spans="1:8">
      <c r="F195" s="68"/>
    </row>
    <row r="196" spans="1:8">
      <c r="F196" s="68"/>
    </row>
    <row r="197" spans="1:8">
      <c r="F197" s="68"/>
    </row>
    <row r="198" spans="1:8">
      <c r="F198" s="68"/>
    </row>
    <row r="199" spans="1:8">
      <c r="F199" s="68"/>
    </row>
    <row r="200" spans="1:8">
      <c r="F200" s="68"/>
    </row>
    <row r="201" spans="1:8">
      <c r="F201" s="68"/>
    </row>
    <row r="202" spans="1:8">
      <c r="A202" s="83"/>
      <c r="B202" s="83"/>
      <c r="C202" s="83"/>
    </row>
    <row r="203" spans="1:8">
      <c r="A203" s="82"/>
      <c r="B203" s="82"/>
      <c r="C203" s="82"/>
      <c r="D203" s="84"/>
      <c r="E203" s="84"/>
      <c r="F203" s="85"/>
      <c r="G203" s="84"/>
      <c r="H203" s="752"/>
    </row>
    <row r="204" spans="1:8">
      <c r="A204" s="87"/>
      <c r="B204" s="87"/>
      <c r="C204" s="87"/>
      <c r="D204" s="82"/>
      <c r="E204" s="82"/>
      <c r="F204" s="88"/>
      <c r="G204" s="82"/>
      <c r="H204" s="751"/>
    </row>
    <row r="205" spans="1:8">
      <c r="A205" s="82"/>
      <c r="B205" s="82"/>
      <c r="C205" s="82"/>
      <c r="D205" s="82"/>
      <c r="E205" s="82"/>
      <c r="F205" s="88"/>
      <c r="G205" s="82"/>
      <c r="H205" s="751"/>
    </row>
    <row r="206" spans="1:8">
      <c r="A206" s="82"/>
      <c r="B206" s="82"/>
      <c r="C206" s="82"/>
      <c r="D206" s="82"/>
      <c r="E206" s="82"/>
      <c r="F206" s="88"/>
      <c r="G206" s="82"/>
      <c r="H206" s="751"/>
    </row>
    <row r="207" spans="1:8">
      <c r="A207" s="82"/>
      <c r="B207" s="82"/>
      <c r="C207" s="82"/>
      <c r="D207" s="82"/>
      <c r="E207" s="82"/>
      <c r="F207" s="88"/>
      <c r="G207" s="82"/>
      <c r="H207" s="751"/>
    </row>
    <row r="208" spans="1:8">
      <c r="A208" s="82"/>
      <c r="B208" s="82"/>
      <c r="C208" s="82"/>
      <c r="D208" s="82"/>
      <c r="E208" s="82"/>
      <c r="F208" s="88"/>
      <c r="G208" s="82"/>
      <c r="H208" s="751"/>
    </row>
    <row r="209" spans="1:8">
      <c r="A209" s="82"/>
      <c r="B209" s="82"/>
      <c r="C209" s="82"/>
      <c r="D209" s="82"/>
      <c r="E209" s="82"/>
      <c r="F209" s="88"/>
      <c r="G209" s="82"/>
      <c r="H209" s="751"/>
    </row>
    <row r="210" spans="1:8">
      <c r="A210" s="82"/>
      <c r="B210" s="82"/>
      <c r="C210" s="82"/>
      <c r="D210" s="82"/>
      <c r="E210" s="82"/>
      <c r="F210" s="88"/>
      <c r="G210" s="82"/>
      <c r="H210" s="751"/>
    </row>
    <row r="211" spans="1:8">
      <c r="A211" s="82"/>
      <c r="B211" s="82"/>
      <c r="C211" s="82"/>
      <c r="D211" s="82"/>
      <c r="E211" s="82"/>
      <c r="F211" s="88"/>
      <c r="G211" s="82"/>
      <c r="H211" s="751"/>
    </row>
    <row r="212" spans="1:8">
      <c r="A212" s="82"/>
      <c r="B212" s="82"/>
      <c r="C212" s="82"/>
      <c r="D212" s="82"/>
      <c r="E212" s="82"/>
      <c r="F212" s="88"/>
      <c r="G212" s="82"/>
      <c r="H212" s="751"/>
    </row>
    <row r="213" spans="1:8">
      <c r="A213" s="82"/>
      <c r="B213" s="82"/>
      <c r="C213" s="82"/>
      <c r="D213" s="82"/>
      <c r="E213" s="82"/>
      <c r="F213" s="88"/>
      <c r="G213" s="82"/>
      <c r="H213" s="751"/>
    </row>
    <row r="214" spans="1:8">
      <c r="A214" s="82"/>
      <c r="B214" s="82"/>
      <c r="C214" s="82"/>
      <c r="D214" s="82"/>
      <c r="E214" s="82"/>
      <c r="F214" s="88"/>
      <c r="G214" s="82"/>
      <c r="H214" s="751"/>
    </row>
    <row r="215" spans="1:8">
      <c r="A215" s="82"/>
      <c r="B215" s="82"/>
      <c r="C215" s="82"/>
      <c r="D215" s="82"/>
      <c r="E215" s="82"/>
      <c r="F215" s="88"/>
      <c r="G215" s="82"/>
      <c r="H215" s="751"/>
    </row>
    <row r="216" spans="1:8">
      <c r="A216" s="82"/>
      <c r="B216" s="82"/>
      <c r="C216" s="82"/>
      <c r="D216" s="82"/>
      <c r="E216" s="82"/>
      <c r="F216" s="88"/>
      <c r="G216" s="82"/>
      <c r="H216" s="751"/>
    </row>
  </sheetData>
  <mergeCells count="4">
    <mergeCell ref="A1:H1"/>
    <mergeCell ref="A3:B3"/>
    <mergeCell ref="A4:B4"/>
    <mergeCell ref="F4:H4"/>
  </mergeCells>
  <phoneticPr fontId="24" type="noConversion"/>
  <pageMargins left="0.49" right="0.48" top="0.57999999999999996" bottom="0.57999999999999996" header="0.3" footer="0.3"/>
  <pageSetup paperSize="9" orientation="portrait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2:C121"/>
  <sheetViews>
    <sheetView workbookViewId="0">
      <selection activeCell="C46" sqref="C46"/>
    </sheetView>
  </sheetViews>
  <sheetFormatPr defaultRowHeight="13.2"/>
  <cols>
    <col min="1" max="1" width="6.88671875" customWidth="1"/>
    <col min="2" max="2" width="61.44140625" customWidth="1"/>
    <col min="3" max="3" width="60.33203125" customWidth="1"/>
  </cols>
  <sheetData>
    <row r="2" spans="2:3" ht="24.6">
      <c r="B2" s="951" t="s">
        <v>663</v>
      </c>
      <c r="C2" s="951"/>
    </row>
    <row r="3" spans="2:3" ht="15.6">
      <c r="B3" s="701"/>
    </row>
    <row r="4" spans="2:3" ht="15.6">
      <c r="B4" s="701"/>
    </row>
    <row r="5" spans="2:3" ht="26.25" customHeight="1">
      <c r="B5" s="952" t="s">
        <v>664</v>
      </c>
      <c r="C5" s="952"/>
    </row>
    <row r="6" spans="2:3">
      <c r="B6" s="952"/>
      <c r="C6" s="952"/>
    </row>
    <row r="7" spans="2:3" ht="15.6">
      <c r="B7" s="702" t="s">
        <v>665</v>
      </c>
      <c r="C7" s="702" t="s">
        <v>666</v>
      </c>
    </row>
    <row r="8" spans="2:3" ht="15.6">
      <c r="B8" s="702" t="s">
        <v>667</v>
      </c>
      <c r="C8" s="702" t="s">
        <v>666</v>
      </c>
    </row>
    <row r="9" spans="2:3" ht="15.6">
      <c r="B9" s="702" t="s">
        <v>668</v>
      </c>
      <c r="C9" s="702" t="s">
        <v>669</v>
      </c>
    </row>
    <row r="10" spans="2:3" ht="15.6">
      <c r="B10" s="702" t="s">
        <v>670</v>
      </c>
      <c r="C10" s="702" t="s">
        <v>666</v>
      </c>
    </row>
    <row r="11" spans="2:3" ht="15.6">
      <c r="B11" s="702" t="s">
        <v>671</v>
      </c>
      <c r="C11" s="702" t="s">
        <v>669</v>
      </c>
    </row>
    <row r="12" spans="2:3" ht="15.6">
      <c r="B12" s="701"/>
    </row>
    <row r="13" spans="2:3" ht="15.6">
      <c r="B13" s="701"/>
    </row>
    <row r="14" spans="2:3">
      <c r="B14" s="953" t="s">
        <v>672</v>
      </c>
      <c r="C14" s="953"/>
    </row>
    <row r="15" spans="2:3" ht="13.8" thickBot="1">
      <c r="B15" s="954"/>
      <c r="C15" s="954"/>
    </row>
    <row r="16" spans="2:3" ht="16.2" thickBot="1">
      <c r="B16" s="703" t="s">
        <v>869</v>
      </c>
      <c r="C16" s="704" t="s">
        <v>673</v>
      </c>
    </row>
    <row r="17" spans="2:3" ht="16.2" thickBot="1">
      <c r="B17" s="703" t="s">
        <v>674</v>
      </c>
      <c r="C17" s="704" t="s">
        <v>669</v>
      </c>
    </row>
    <row r="18" spans="2:3" ht="16.2" thickBot="1">
      <c r="B18" s="703" t="s">
        <v>675</v>
      </c>
      <c r="C18" s="704" t="s">
        <v>669</v>
      </c>
    </row>
    <row r="19" spans="2:3" ht="31.8" thickBot="1">
      <c r="B19" s="705" t="s">
        <v>676</v>
      </c>
      <c r="C19" s="706" t="s">
        <v>677</v>
      </c>
    </row>
    <row r="20" spans="2:3" ht="15.6">
      <c r="B20" s="701"/>
    </row>
    <row r="21" spans="2:3" ht="15.6">
      <c r="B21" s="701"/>
    </row>
    <row r="22" spans="2:3" ht="15.6">
      <c r="B22" s="701"/>
    </row>
    <row r="23" spans="2:3" ht="17.399999999999999">
      <c r="B23" s="707" t="s">
        <v>678</v>
      </c>
    </row>
    <row r="24" spans="2:3" ht="17.399999999999999">
      <c r="B24" s="707"/>
    </row>
    <row r="25" spans="2:3" ht="15.6">
      <c r="B25" s="708" t="s">
        <v>817</v>
      </c>
    </row>
    <row r="26" spans="2:3" ht="15.6">
      <c r="B26" s="709" t="s">
        <v>679</v>
      </c>
    </row>
    <row r="27" spans="2:3" ht="15.6">
      <c r="B27" s="778" t="s">
        <v>718</v>
      </c>
    </row>
    <row r="28" spans="2:3" ht="15.6">
      <c r="B28" s="778" t="s">
        <v>814</v>
      </c>
    </row>
    <row r="29" spans="2:3" ht="15.6">
      <c r="B29" s="778" t="s">
        <v>888</v>
      </c>
    </row>
    <row r="30" spans="2:3" ht="15.6">
      <c r="B30" s="778" t="s">
        <v>889</v>
      </c>
    </row>
    <row r="31" spans="2:3" ht="15.6">
      <c r="B31" s="778" t="s">
        <v>890</v>
      </c>
    </row>
    <row r="32" spans="2:3" ht="15.6">
      <c r="B32" s="778" t="s">
        <v>889</v>
      </c>
    </row>
    <row r="33" spans="2:2" ht="15.6">
      <c r="B33" s="778" t="s">
        <v>719</v>
      </c>
    </row>
    <row r="34" spans="2:2" ht="15.6">
      <c r="B34" s="778" t="s">
        <v>891</v>
      </c>
    </row>
    <row r="35" spans="2:2" ht="15.6">
      <c r="B35" s="778" t="s">
        <v>888</v>
      </c>
    </row>
    <row r="36" spans="2:2" ht="15.6">
      <c r="B36" s="778" t="s">
        <v>892</v>
      </c>
    </row>
    <row r="37" spans="2:2" ht="15.6">
      <c r="B37" s="778" t="s">
        <v>815</v>
      </c>
    </row>
    <row r="38" spans="2:2" ht="15.6">
      <c r="B38" s="778" t="s">
        <v>720</v>
      </c>
    </row>
    <row r="39" spans="2:2" ht="15.6">
      <c r="B39" s="778" t="s">
        <v>893</v>
      </c>
    </row>
    <row r="40" spans="2:2" ht="15.6">
      <c r="B40" s="778" t="s">
        <v>721</v>
      </c>
    </row>
    <row r="41" spans="2:2">
      <c r="B41" s="710"/>
    </row>
    <row r="42" spans="2:2" ht="15.6">
      <c r="B42" s="708" t="s">
        <v>681</v>
      </c>
    </row>
    <row r="43" spans="2:2" ht="15.6">
      <c r="B43" s="709" t="s">
        <v>682</v>
      </c>
    </row>
    <row r="44" spans="2:2" ht="15.6">
      <c r="B44" s="710" t="s">
        <v>680</v>
      </c>
    </row>
    <row r="45" spans="2:2" ht="15.6">
      <c r="B45" s="710" t="s">
        <v>683</v>
      </c>
    </row>
    <row r="46" spans="2:2" ht="15.6">
      <c r="B46" s="710" t="s">
        <v>894</v>
      </c>
    </row>
    <row r="47" spans="2:2">
      <c r="B47" s="710"/>
    </row>
    <row r="48" spans="2:2">
      <c r="B48" s="852" t="s">
        <v>863</v>
      </c>
    </row>
    <row r="49" spans="2:2">
      <c r="B49" s="483" t="s">
        <v>864</v>
      </c>
    </row>
    <row r="50" spans="2:2">
      <c r="B50" s="710"/>
    </row>
    <row r="51" spans="2:2" ht="15.6">
      <c r="B51" s="708" t="s">
        <v>684</v>
      </c>
    </row>
    <row r="52" spans="2:2" ht="15.6">
      <c r="B52" s="709" t="s">
        <v>685</v>
      </c>
    </row>
    <row r="53" spans="2:2" ht="78">
      <c r="B53" s="702" t="s">
        <v>924</v>
      </c>
    </row>
    <row r="54" spans="2:2">
      <c r="B54" s="711"/>
    </row>
    <row r="55" spans="2:2" ht="15.6">
      <c r="B55" s="709" t="s">
        <v>686</v>
      </c>
    </row>
    <row r="56" spans="2:2" ht="15.6">
      <c r="B56" s="702" t="s">
        <v>687</v>
      </c>
    </row>
    <row r="57" spans="2:2" hidden="1">
      <c r="B57" s="711"/>
    </row>
    <row r="58" spans="2:2" ht="15.6" hidden="1">
      <c r="B58" s="709"/>
    </row>
    <row r="59" spans="2:2" ht="15.6" hidden="1">
      <c r="B59" s="702"/>
    </row>
    <row r="60" spans="2:2">
      <c r="B60" s="711"/>
    </row>
    <row r="61" spans="2:2" ht="15.6">
      <c r="B61" s="709" t="s">
        <v>688</v>
      </c>
    </row>
    <row r="62" spans="2:2" ht="31.2">
      <c r="B62" s="702" t="s">
        <v>895</v>
      </c>
    </row>
    <row r="63" spans="2:2">
      <c r="B63" s="711"/>
    </row>
    <row r="64" spans="2:2" ht="15.6">
      <c r="B64" s="708" t="s">
        <v>689</v>
      </c>
    </row>
    <row r="65" spans="2:2" ht="46.8">
      <c r="B65" s="712" t="s">
        <v>922</v>
      </c>
    </row>
    <row r="66" spans="2:2" ht="15.6">
      <c r="B66" s="712" t="s">
        <v>896</v>
      </c>
    </row>
    <row r="67" spans="2:2" ht="15.6">
      <c r="B67" s="712" t="s">
        <v>690</v>
      </c>
    </row>
    <row r="68" spans="2:2" ht="15.6">
      <c r="B68" s="712" t="s">
        <v>691</v>
      </c>
    </row>
    <row r="69" spans="2:2" ht="15.6">
      <c r="B69" s="712" t="s">
        <v>897</v>
      </c>
    </row>
    <row r="70" spans="2:2" ht="15.6">
      <c r="B70" s="712" t="s">
        <v>692</v>
      </c>
    </row>
    <row r="71" spans="2:2" ht="31.2">
      <c r="B71" s="712" t="s">
        <v>798</v>
      </c>
    </row>
    <row r="72" spans="2:2">
      <c r="B72" s="711"/>
    </row>
    <row r="73" spans="2:2" ht="15.6">
      <c r="B73" s="708" t="s">
        <v>693</v>
      </c>
    </row>
    <row r="74" spans="2:2" ht="31.2">
      <c r="B74" s="709" t="s">
        <v>694</v>
      </c>
    </row>
    <row r="75" spans="2:2" ht="31.2">
      <c r="B75" s="709" t="s">
        <v>898</v>
      </c>
    </row>
    <row r="76" spans="2:2" ht="15.6">
      <c r="B76" s="709"/>
    </row>
    <row r="77" spans="2:2" ht="15.6">
      <c r="B77" s="708" t="s">
        <v>695</v>
      </c>
    </row>
    <row r="78" spans="2:2" ht="34.200000000000003">
      <c r="B78" s="702" t="s">
        <v>921</v>
      </c>
    </row>
    <row r="79" spans="2:2" ht="15.6">
      <c r="B79" s="702" t="s">
        <v>696</v>
      </c>
    </row>
    <row r="80" spans="2:2" ht="31.2">
      <c r="B80" s="702" t="s">
        <v>697</v>
      </c>
    </row>
    <row r="81" spans="2:3" ht="15.6">
      <c r="B81" s="702"/>
    </row>
    <row r="82" spans="2:3" ht="15.6">
      <c r="B82" s="708" t="s">
        <v>698</v>
      </c>
    </row>
    <row r="83" spans="2:3" ht="31.2">
      <c r="B83" s="702" t="s">
        <v>699</v>
      </c>
    </row>
    <row r="84" spans="2:3" ht="15.6">
      <c r="B84" s="702"/>
    </row>
    <row r="85" spans="2:3" ht="15.6">
      <c r="B85" s="708" t="s">
        <v>700</v>
      </c>
    </row>
    <row r="86" spans="2:3" ht="31.2">
      <c r="B86" s="702" t="s">
        <v>701</v>
      </c>
    </row>
    <row r="87" spans="2:3" ht="31.2">
      <c r="B87" s="702" t="s">
        <v>702</v>
      </c>
    </row>
    <row r="88" spans="2:3" ht="46.8">
      <c r="B88" s="702" t="s">
        <v>703</v>
      </c>
    </row>
    <row r="89" spans="2:3" ht="15.6">
      <c r="B89" s="702" t="s">
        <v>704</v>
      </c>
    </row>
    <row r="90" spans="2:3" ht="15.6">
      <c r="B90" s="702"/>
    </row>
    <row r="91" spans="2:3" ht="15.6">
      <c r="B91" s="708" t="s">
        <v>705</v>
      </c>
    </row>
    <row r="92" spans="2:3" ht="15.6">
      <c r="B92" s="702" t="s">
        <v>706</v>
      </c>
    </row>
    <row r="93" spans="2:3" ht="15.6">
      <c r="B93" s="702"/>
    </row>
    <row r="94" spans="2:3" ht="15.6">
      <c r="B94" s="850" t="s">
        <v>862</v>
      </c>
      <c r="C94" s="851"/>
    </row>
    <row r="95" spans="2:3" ht="15.6">
      <c r="B95" s="850"/>
      <c r="C95" s="851"/>
    </row>
    <row r="96" spans="2:3" ht="20.399999999999999">
      <c r="B96" s="955" t="s">
        <v>707</v>
      </c>
      <c r="C96" s="955"/>
    </row>
    <row r="97" spans="2:2" ht="15.6">
      <c r="B97" s="701"/>
    </row>
    <row r="98" spans="2:2" ht="15.6">
      <c r="B98" s="701"/>
    </row>
    <row r="99" spans="2:2" ht="15.6">
      <c r="B99" s="701"/>
    </row>
    <row r="100" spans="2:2" ht="15.6">
      <c r="B100" s="713" t="s">
        <v>708</v>
      </c>
    </row>
    <row r="101" spans="2:2" ht="15.6">
      <c r="B101" s="714" t="s">
        <v>709</v>
      </c>
    </row>
    <row r="103" spans="2:2" ht="15.6">
      <c r="B103" s="714"/>
    </row>
    <row r="104" spans="2:2" ht="15.6">
      <c r="B104" s="713" t="s">
        <v>710</v>
      </c>
    </row>
    <row r="105" spans="2:2" ht="15.6">
      <c r="B105" s="714" t="s">
        <v>711</v>
      </c>
    </row>
    <row r="107" spans="2:2" ht="15.6">
      <c r="B107" s="701"/>
    </row>
    <row r="108" spans="2:2" ht="15.6">
      <c r="B108" s="713" t="s">
        <v>712</v>
      </c>
    </row>
    <row r="109" spans="2:2" ht="15.6">
      <c r="B109" s="714" t="s">
        <v>713</v>
      </c>
    </row>
    <row r="111" spans="2:2" ht="15.6">
      <c r="B111" s="701"/>
    </row>
    <row r="112" spans="2:2" ht="15.6">
      <c r="B112" s="713" t="s">
        <v>714</v>
      </c>
    </row>
    <row r="113" spans="2:2" ht="15.6">
      <c r="B113" s="714" t="s">
        <v>715</v>
      </c>
    </row>
    <row r="115" spans="2:2" ht="15.6">
      <c r="B115" s="714"/>
    </row>
    <row r="116" spans="2:2" ht="15.6">
      <c r="B116" s="714"/>
    </row>
    <row r="117" spans="2:2" ht="15.6">
      <c r="B117" s="714"/>
    </row>
    <row r="118" spans="2:2" ht="15.6">
      <c r="B118" s="714" t="s">
        <v>716</v>
      </c>
    </row>
    <row r="119" spans="2:2">
      <c r="B119" s="715"/>
    </row>
    <row r="120" spans="2:2" ht="15.6">
      <c r="B120" s="714" t="s">
        <v>717</v>
      </c>
    </row>
    <row r="121" spans="2:2" ht="15.6">
      <c r="B121" s="714"/>
    </row>
  </sheetData>
  <mergeCells count="4">
    <mergeCell ref="B2:C2"/>
    <mergeCell ref="B5:C6"/>
    <mergeCell ref="B14:C15"/>
    <mergeCell ref="B96:C96"/>
  </mergeCells>
  <phoneticPr fontId="24" type="noConversion"/>
  <hyperlinks>
    <hyperlink ref="B49" r:id="rId1" display="http://www.rigips.cz/files/techonologie/TI_131106_Rovinnost_konstrukci_Q.pdf"/>
  </hyperlinks>
  <pageMargins left="0.78740157480314965" right="0.78740157480314965" top="0.98425196850393704" bottom="0.98425196850393704" header="0.51181102362204722" footer="0.51181102362204722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2" enableFormatConditionsCalculation="0">
    <tabColor theme="0"/>
    <pageSetUpPr fitToPage="1"/>
  </sheetPr>
  <dimension ref="A1:DA239"/>
  <sheetViews>
    <sheetView showGridLines="0" showZeros="0" topLeftCell="A58" workbookViewId="0">
      <selection activeCell="K84" sqref="K84"/>
    </sheetView>
  </sheetViews>
  <sheetFormatPr defaultColWidth="9.109375" defaultRowHeight="13.2"/>
  <cols>
    <col min="1" max="1" width="5.44140625" style="68" customWidth="1"/>
    <col min="2" max="2" width="11.5546875" style="68" customWidth="1"/>
    <col min="3" max="3" width="11.5546875" style="68" hidden="1" customWidth="1"/>
    <col min="4" max="4" width="41.6640625" style="68" customWidth="1"/>
    <col min="5" max="5" width="5.5546875" style="68" customWidth="1"/>
    <col min="6" max="6" width="8.5546875" style="77" customWidth="1"/>
    <col min="7" max="7" width="9.88671875" style="68" customWidth="1"/>
    <col min="8" max="8" width="13.44140625" style="68" customWidth="1"/>
    <col min="9" max="9" width="10.109375" style="68" bestFit="1" customWidth="1"/>
    <col min="10" max="10" width="11.6640625" style="68" bestFit="1" customWidth="1"/>
    <col min="11" max="12" width="9.109375" style="68"/>
    <col min="13" max="13" width="75.44140625" style="68" customWidth="1"/>
    <col min="14" max="16384" width="9.109375" style="68"/>
  </cols>
  <sheetData>
    <row r="1" spans="1:105" ht="15.6">
      <c r="A1" s="943" t="s">
        <v>508</v>
      </c>
      <c r="B1" s="943"/>
      <c r="C1" s="943"/>
      <c r="D1" s="943"/>
      <c r="E1" s="943"/>
      <c r="F1" s="943"/>
      <c r="G1" s="943"/>
      <c r="H1" s="943"/>
    </row>
    <row r="2" spans="1:105" ht="8.25" customHeight="1" thickBot="1">
      <c r="B2" s="69"/>
      <c r="C2" s="69"/>
      <c r="D2" s="70"/>
      <c r="E2" s="70"/>
      <c r="F2" s="71"/>
      <c r="G2" s="70"/>
      <c r="H2" s="70"/>
    </row>
    <row r="3" spans="1:105" ht="14.4" thickTop="1" thickBot="1">
      <c r="A3" s="944" t="s">
        <v>4</v>
      </c>
      <c r="B3" s="945"/>
      <c r="C3" s="109"/>
      <c r="D3" s="44" t="str">
        <f>Investor!C2</f>
        <v>Petrák</v>
      </c>
      <c r="E3" s="45"/>
      <c r="F3" s="72" t="s">
        <v>48</v>
      </c>
      <c r="G3" s="73" t="str">
        <f>Investor!D2</f>
        <v>dle podkladů</v>
      </c>
      <c r="H3" s="74"/>
    </row>
    <row r="4" spans="1:105" ht="13.8" thickBot="1">
      <c r="A4" s="946" t="s">
        <v>1</v>
      </c>
      <c r="B4" s="947"/>
      <c r="C4" s="110"/>
      <c r="D4" s="46" t="s">
        <v>526</v>
      </c>
      <c r="E4" s="47"/>
      <c r="F4" s="948">
        <f>'Rozpočet-sumář'!G2</f>
        <v>0</v>
      </c>
      <c r="G4" s="949"/>
      <c r="H4" s="950"/>
    </row>
    <row r="5" spans="1:105" ht="14.25" customHeight="1" thickTop="1" thickBot="1">
      <c r="A5" s="75"/>
      <c r="B5" s="76"/>
      <c r="C5" s="76"/>
      <c r="D5" s="319"/>
      <c r="E5" s="399"/>
      <c r="H5" s="78"/>
    </row>
    <row r="6" spans="1:105" ht="13.8" thickBot="1">
      <c r="A6" s="164" t="s">
        <v>49</v>
      </c>
      <c r="B6" s="165" t="s">
        <v>50</v>
      </c>
      <c r="C6" s="165"/>
      <c r="D6" s="165" t="s">
        <v>51</v>
      </c>
      <c r="E6" s="165" t="s">
        <v>52</v>
      </c>
      <c r="F6" s="166" t="s">
        <v>53</v>
      </c>
      <c r="G6" s="165" t="s">
        <v>54</v>
      </c>
      <c r="H6" s="167" t="s">
        <v>55</v>
      </c>
    </row>
    <row r="7" spans="1:105">
      <c r="A7" s="171"/>
      <c r="B7" s="170"/>
      <c r="C7" s="170"/>
      <c r="D7" s="170"/>
      <c r="E7" s="170"/>
      <c r="F7" s="172"/>
      <c r="G7" s="170"/>
      <c r="H7" s="170"/>
    </row>
    <row r="8" spans="1:105">
      <c r="A8" s="171"/>
      <c r="B8" s="170"/>
      <c r="C8" s="170"/>
      <c r="D8" s="170"/>
      <c r="E8" s="170"/>
      <c r="F8" s="172"/>
      <c r="G8" s="170"/>
      <c r="H8" s="170"/>
    </row>
    <row r="9" spans="1:105">
      <c r="A9" s="188" t="s">
        <v>56</v>
      </c>
      <c r="B9" s="189" t="s">
        <v>140</v>
      </c>
      <c r="C9" s="189"/>
      <c r="D9" s="190" t="s">
        <v>141</v>
      </c>
      <c r="E9" s="191"/>
      <c r="F9" s="192"/>
      <c r="G9" s="192"/>
      <c r="H9" s="193"/>
    </row>
    <row r="10" spans="1:105">
      <c r="A10" s="204">
        <v>1</v>
      </c>
      <c r="B10" s="205"/>
      <c r="C10" s="205"/>
      <c r="D10" s="206" t="s">
        <v>142</v>
      </c>
      <c r="E10" s="207" t="s">
        <v>60</v>
      </c>
      <c r="F10" s="208">
        <v>0</v>
      </c>
      <c r="G10" s="208">
        <v>2400</v>
      </c>
      <c r="H10" s="208">
        <f>G10*F10</f>
        <v>0</v>
      </c>
      <c r="I10" s="79"/>
      <c r="J10" s="79"/>
      <c r="P10" s="80"/>
    </row>
    <row r="11" spans="1:105">
      <c r="A11" s="200"/>
      <c r="B11" s="301" t="s">
        <v>57</v>
      </c>
      <c r="C11" s="301"/>
      <c r="D11" s="302" t="str">
        <f>CONCATENATE(B9," ",D9)</f>
        <v>A Základová deska</v>
      </c>
      <c r="E11" s="200"/>
      <c r="F11" s="303"/>
      <c r="G11" s="303"/>
      <c r="H11" s="304">
        <f>H10</f>
        <v>0</v>
      </c>
      <c r="L11" s="93"/>
      <c r="P11" s="80"/>
      <c r="DA11" s="68">
        <v>0</v>
      </c>
    </row>
    <row r="12" spans="1:105">
      <c r="A12" s="163"/>
      <c r="B12" s="180"/>
      <c r="C12" s="180"/>
      <c r="D12" s="179"/>
      <c r="E12" s="163"/>
      <c r="F12" s="178"/>
      <c r="G12" s="178"/>
      <c r="H12" s="181"/>
      <c r="P12" s="80"/>
      <c r="BB12" s="81"/>
      <c r="BC12" s="81"/>
      <c r="BD12" s="81"/>
      <c r="BE12" s="81"/>
      <c r="BF12" s="81"/>
    </row>
    <row r="13" spans="1:105">
      <c r="A13" s="163"/>
      <c r="B13" s="180"/>
      <c r="C13" s="180"/>
      <c r="D13" s="179"/>
      <c r="E13" s="163"/>
      <c r="F13" s="178"/>
      <c r="G13" s="178"/>
      <c r="H13" s="181"/>
      <c r="P13" s="80"/>
      <c r="BB13" s="81"/>
      <c r="BC13" s="81"/>
      <c r="BD13" s="81"/>
      <c r="BE13" s="81"/>
      <c r="BF13" s="81"/>
    </row>
    <row r="14" spans="1:105">
      <c r="A14" s="188" t="s">
        <v>56</v>
      </c>
      <c r="B14" s="189" t="s">
        <v>117</v>
      </c>
      <c r="C14" s="189"/>
      <c r="D14" s="190" t="s">
        <v>118</v>
      </c>
      <c r="E14" s="200"/>
      <c r="F14" s="201"/>
      <c r="G14" s="201"/>
      <c r="H14" s="202"/>
      <c r="P14" s="80"/>
      <c r="BB14" s="81"/>
      <c r="BC14" s="81"/>
      <c r="BD14" s="81"/>
      <c r="BE14" s="81"/>
      <c r="BF14" s="81"/>
    </row>
    <row r="15" spans="1:105">
      <c r="A15" s="194">
        <v>2</v>
      </c>
      <c r="B15" s="195" t="s">
        <v>61</v>
      </c>
      <c r="C15" s="195"/>
      <c r="D15" s="237" t="s">
        <v>62</v>
      </c>
      <c r="E15" s="197" t="s">
        <v>63</v>
      </c>
      <c r="F15" s="199">
        <f>'Výkaz výměr'!D8</f>
        <v>11.507059199999999</v>
      </c>
      <c r="G15" s="198">
        <v>12800</v>
      </c>
      <c r="H15" s="203">
        <f>G15*F15</f>
        <v>147290.35775999998</v>
      </c>
      <c r="I15" s="79"/>
      <c r="J15" s="79"/>
      <c r="P15" s="80"/>
    </row>
    <row r="16" spans="1:105">
      <c r="A16" s="194">
        <f>A15+1</f>
        <v>3</v>
      </c>
      <c r="B16" s="195" t="s">
        <v>61</v>
      </c>
      <c r="C16" s="195"/>
      <c r="D16" s="237" t="s">
        <v>661</v>
      </c>
      <c r="E16" s="197" t="s">
        <v>59</v>
      </c>
      <c r="F16" s="198">
        <f>'Výkaz výměr'!C9</f>
        <v>1.718496</v>
      </c>
      <c r="G16" s="199">
        <v>7392</v>
      </c>
      <c r="H16" s="203">
        <f t="shared" ref="H16:H24" si="0">F16*G16</f>
        <v>12703.122432</v>
      </c>
      <c r="P16" s="80"/>
      <c r="DA16" s="68">
        <v>0</v>
      </c>
    </row>
    <row r="17" spans="1:105">
      <c r="A17" s="194">
        <f t="shared" ref="A17:A24" si="1">A16+1</f>
        <v>4</v>
      </c>
      <c r="B17" s="195" t="s">
        <v>61</v>
      </c>
      <c r="C17" s="195"/>
      <c r="D17" s="237" t="s">
        <v>486</v>
      </c>
      <c r="E17" s="197" t="s">
        <v>60</v>
      </c>
      <c r="F17" s="199">
        <f>'Výkaz výměr'!N54</f>
        <v>81.12</v>
      </c>
      <c r="G17" s="199">
        <v>440</v>
      </c>
      <c r="H17" s="203">
        <f t="shared" si="0"/>
        <v>35692.800000000003</v>
      </c>
      <c r="P17" s="80"/>
      <c r="DA17" s="68">
        <v>0</v>
      </c>
    </row>
    <row r="18" spans="1:105">
      <c r="A18" s="489">
        <f t="shared" si="1"/>
        <v>5</v>
      </c>
      <c r="B18" s="490" t="s">
        <v>61</v>
      </c>
      <c r="C18" s="490"/>
      <c r="D18" s="491" t="s">
        <v>64</v>
      </c>
      <c r="E18" s="492" t="s">
        <v>59</v>
      </c>
      <c r="F18" s="493">
        <f>'Výkaz výměr'!C11</f>
        <v>0</v>
      </c>
      <c r="G18" s="493">
        <v>7194</v>
      </c>
      <c r="H18" s="494">
        <f t="shared" si="0"/>
        <v>0</v>
      </c>
      <c r="P18" s="80"/>
      <c r="DA18" s="68">
        <v>0</v>
      </c>
    </row>
    <row r="19" spans="1:105">
      <c r="A19" s="194">
        <f t="shared" si="1"/>
        <v>6</v>
      </c>
      <c r="B19" s="195" t="s">
        <v>143</v>
      </c>
      <c r="C19" s="195"/>
      <c r="D19" s="237" t="s">
        <v>144</v>
      </c>
      <c r="E19" s="197" t="s">
        <v>60</v>
      </c>
      <c r="F19" s="199">
        <f>'Výkaz výměr'!D12</f>
        <v>111.416</v>
      </c>
      <c r="G19" s="199">
        <v>127.4</v>
      </c>
      <c r="H19" s="203">
        <f t="shared" si="0"/>
        <v>14194.3984</v>
      </c>
      <c r="P19" s="80"/>
      <c r="DA19" s="68">
        <v>0</v>
      </c>
    </row>
    <row r="20" spans="1:105">
      <c r="A20" s="194">
        <f t="shared" si="1"/>
        <v>7</v>
      </c>
      <c r="B20" s="195" t="s">
        <v>66</v>
      </c>
      <c r="C20" s="195"/>
      <c r="D20" s="237" t="s">
        <v>165</v>
      </c>
      <c r="E20" s="197" t="s">
        <v>60</v>
      </c>
      <c r="F20" s="199">
        <f>'Výkaz výměr'!D13</f>
        <v>140</v>
      </c>
      <c r="G20" s="199">
        <v>18.600000000000001</v>
      </c>
      <c r="H20" s="203">
        <f t="shared" si="0"/>
        <v>2604</v>
      </c>
      <c r="L20" s="92"/>
      <c r="P20" s="80"/>
    </row>
    <row r="21" spans="1:105">
      <c r="A21" s="194">
        <f t="shared" si="1"/>
        <v>8</v>
      </c>
      <c r="B21" s="195" t="s">
        <v>67</v>
      </c>
      <c r="C21" s="195"/>
      <c r="D21" s="237" t="s">
        <v>166</v>
      </c>
      <c r="E21" s="197" t="s">
        <v>60</v>
      </c>
      <c r="F21" s="199">
        <f>'Výkaz výměr'!D14</f>
        <v>140</v>
      </c>
      <c r="G21" s="199">
        <v>18.8</v>
      </c>
      <c r="H21" s="203">
        <f t="shared" si="0"/>
        <v>2632</v>
      </c>
      <c r="L21" s="93"/>
      <c r="P21" s="80"/>
      <c r="DA21" s="68">
        <v>0</v>
      </c>
    </row>
    <row r="22" spans="1:105">
      <c r="A22" s="194">
        <f t="shared" si="1"/>
        <v>9</v>
      </c>
      <c r="B22" s="195" t="s">
        <v>68</v>
      </c>
      <c r="C22" s="195"/>
      <c r="D22" s="237" t="s">
        <v>583</v>
      </c>
      <c r="E22" s="197" t="s">
        <v>60</v>
      </c>
      <c r="F22" s="199">
        <v>50</v>
      </c>
      <c r="G22" s="199">
        <v>68.5</v>
      </c>
      <c r="H22" s="203">
        <f t="shared" si="0"/>
        <v>3425</v>
      </c>
      <c r="L22" s="93"/>
      <c r="P22" s="80"/>
      <c r="DA22" s="68">
        <v>0</v>
      </c>
    </row>
    <row r="23" spans="1:105" ht="21">
      <c r="A23" s="194">
        <f t="shared" si="1"/>
        <v>10</v>
      </c>
      <c r="B23" s="195" t="s">
        <v>68</v>
      </c>
      <c r="C23" s="195"/>
      <c r="D23" s="237" t="s">
        <v>138</v>
      </c>
      <c r="E23" s="197" t="s">
        <v>60</v>
      </c>
      <c r="F23" s="199">
        <f>'Výkaz výměr'!D16</f>
        <v>0</v>
      </c>
      <c r="G23" s="199">
        <v>68.5</v>
      </c>
      <c r="H23" s="203">
        <f t="shared" si="0"/>
        <v>0</v>
      </c>
      <c r="L23" s="93"/>
      <c r="M23" s="76"/>
      <c r="P23" s="80"/>
      <c r="DA23" s="68">
        <v>0</v>
      </c>
    </row>
    <row r="24" spans="1:105">
      <c r="A24" s="194">
        <f t="shared" si="1"/>
        <v>11</v>
      </c>
      <c r="B24" s="195" t="s">
        <v>69</v>
      </c>
      <c r="C24" s="195"/>
      <c r="D24" s="237" t="s">
        <v>70</v>
      </c>
      <c r="E24" s="197" t="s">
        <v>63</v>
      </c>
      <c r="F24" s="198">
        <f>F15*750</f>
        <v>8630.2943999999989</v>
      </c>
      <c r="G24" s="199">
        <v>1</v>
      </c>
      <c r="H24" s="203">
        <f t="shared" si="0"/>
        <v>8630.2943999999989</v>
      </c>
      <c r="L24" s="93"/>
      <c r="P24" s="80"/>
      <c r="DA24" s="68">
        <v>0</v>
      </c>
    </row>
    <row r="25" spans="1:105">
      <c r="A25" s="200"/>
      <c r="B25" s="301" t="s">
        <v>57</v>
      </c>
      <c r="C25" s="301"/>
      <c r="D25" s="302" t="str">
        <f>CONCATENATE(B14," ",D14)</f>
        <v>B Kostra</v>
      </c>
      <c r="E25" s="200"/>
      <c r="F25" s="303"/>
      <c r="G25" s="303"/>
      <c r="H25" s="305">
        <f>SUM(H15:H24)</f>
        <v>227171.972992</v>
      </c>
      <c r="L25" s="93"/>
      <c r="P25" s="80"/>
      <c r="DA25" s="68">
        <v>0</v>
      </c>
    </row>
    <row r="26" spans="1:105">
      <c r="A26" s="163"/>
      <c r="B26" s="180"/>
      <c r="C26" s="180"/>
      <c r="D26" s="179"/>
      <c r="E26" s="163"/>
      <c r="F26" s="178"/>
      <c r="G26" s="178"/>
      <c r="H26" s="168"/>
      <c r="P26" s="80"/>
      <c r="BB26" s="81"/>
      <c r="BC26" s="81"/>
      <c r="BD26" s="81"/>
      <c r="BE26" s="81"/>
      <c r="BF26" s="81"/>
    </row>
    <row r="27" spans="1:105">
      <c r="A27" s="163"/>
      <c r="B27" s="180"/>
      <c r="C27" s="180"/>
      <c r="D27" s="179"/>
      <c r="E27" s="163"/>
      <c r="F27" s="178"/>
      <c r="G27" s="178"/>
      <c r="H27" s="168"/>
      <c r="P27" s="80"/>
      <c r="BB27" s="81"/>
      <c r="BC27" s="81"/>
      <c r="BD27" s="81"/>
      <c r="BE27" s="81"/>
      <c r="BF27" s="81"/>
    </row>
    <row r="28" spans="1:105" ht="10.5" customHeight="1">
      <c r="A28" s="188" t="s">
        <v>56</v>
      </c>
      <c r="B28" s="189" t="s">
        <v>119</v>
      </c>
      <c r="C28" s="189"/>
      <c r="D28" s="190" t="s">
        <v>120</v>
      </c>
      <c r="E28" s="200"/>
      <c r="F28" s="201"/>
      <c r="G28" s="201"/>
      <c r="H28" s="202"/>
      <c r="P28" s="80"/>
      <c r="BB28" s="81"/>
      <c r="BC28" s="81"/>
      <c r="BD28" s="81"/>
      <c r="BE28" s="81"/>
      <c r="BF28" s="81"/>
    </row>
    <row r="29" spans="1:105">
      <c r="A29" s="194">
        <f>A24+1</f>
        <v>12</v>
      </c>
      <c r="B29" s="195" t="s">
        <v>71</v>
      </c>
      <c r="C29" s="195"/>
      <c r="D29" s="237" t="s">
        <v>478</v>
      </c>
      <c r="E29" s="197" t="s">
        <v>60</v>
      </c>
      <c r="F29" s="199">
        <f>'Výkaz výměr'!K16</f>
        <v>116.9868</v>
      </c>
      <c r="G29" s="199">
        <v>320.10000000000002</v>
      </c>
      <c r="H29" s="203">
        <f t="shared" ref="H29:H46" si="2">F29*G29</f>
        <v>37447.474680000007</v>
      </c>
      <c r="I29" s="79"/>
      <c r="J29" s="79"/>
      <c r="P29" s="80"/>
    </row>
    <row r="30" spans="1:105">
      <c r="A30" s="681">
        <f>A29+1</f>
        <v>13</v>
      </c>
      <c r="B30" s="195" t="s">
        <v>72</v>
      </c>
      <c r="C30" s="195"/>
      <c r="D30" s="237" t="s">
        <v>651</v>
      </c>
      <c r="E30" s="197" t="s">
        <v>60</v>
      </c>
      <c r="F30" s="198">
        <f>'Výkaz výměr'!D32</f>
        <v>139.26999999999998</v>
      </c>
      <c r="G30" s="199">
        <v>70.7</v>
      </c>
      <c r="H30" s="203">
        <f t="shared" si="2"/>
        <v>9846.3889999999992</v>
      </c>
      <c r="P30" s="80"/>
      <c r="DA30" s="68">
        <v>0</v>
      </c>
    </row>
    <row r="31" spans="1:105" ht="15" customHeight="1">
      <c r="A31" s="194">
        <f t="shared" ref="A31:A45" si="3">A30+1</f>
        <v>14</v>
      </c>
      <c r="B31" s="195" t="s">
        <v>73</v>
      </c>
      <c r="C31" s="195"/>
      <c r="D31" s="237" t="s">
        <v>163</v>
      </c>
      <c r="E31" s="197" t="s">
        <v>60</v>
      </c>
      <c r="F31" s="198">
        <f>(F19+F20)*1.2</f>
        <v>301.69919999999996</v>
      </c>
      <c r="G31" s="199">
        <v>59.1</v>
      </c>
      <c r="H31" s="203">
        <f t="shared" si="2"/>
        <v>17830.422719999999</v>
      </c>
      <c r="P31" s="80"/>
    </row>
    <row r="32" spans="1:105" ht="15" customHeight="1">
      <c r="A32" s="194">
        <f t="shared" si="3"/>
        <v>15</v>
      </c>
      <c r="B32" s="195" t="s">
        <v>74</v>
      </c>
      <c r="C32" s="195"/>
      <c r="D32" s="237" t="s">
        <v>145</v>
      </c>
      <c r="E32" s="197" t="s">
        <v>75</v>
      </c>
      <c r="F32" s="199">
        <f>'Výkaz výměr'!N36</f>
        <v>50</v>
      </c>
      <c r="G32" s="199">
        <v>267.5</v>
      </c>
      <c r="H32" s="203">
        <f t="shared" si="2"/>
        <v>13375</v>
      </c>
      <c r="P32" s="80"/>
    </row>
    <row r="33" spans="1:105" ht="15" customHeight="1">
      <c r="A33" s="194">
        <f t="shared" si="3"/>
        <v>16</v>
      </c>
      <c r="B33" s="195" t="s">
        <v>76</v>
      </c>
      <c r="C33" s="195"/>
      <c r="D33" s="237" t="s">
        <v>474</v>
      </c>
      <c r="E33" s="197" t="s">
        <v>75</v>
      </c>
      <c r="F33" s="199">
        <f>'Výkaz výměr'!N140</f>
        <v>7.9</v>
      </c>
      <c r="G33" s="199">
        <v>1013</v>
      </c>
      <c r="H33" s="203">
        <f>F33*G33</f>
        <v>8002.7000000000007</v>
      </c>
      <c r="P33" s="80"/>
    </row>
    <row r="34" spans="1:105">
      <c r="A34" s="194">
        <f t="shared" si="3"/>
        <v>17</v>
      </c>
      <c r="B34" s="195" t="s">
        <v>77</v>
      </c>
      <c r="C34" s="195"/>
      <c r="D34" s="237" t="s">
        <v>78</v>
      </c>
      <c r="E34" s="197" t="s">
        <v>75</v>
      </c>
      <c r="F34" s="199">
        <f>'Výkaz výměr'!N148</f>
        <v>11.5</v>
      </c>
      <c r="G34" s="199">
        <v>200</v>
      </c>
      <c r="H34" s="203">
        <f t="shared" si="2"/>
        <v>2300</v>
      </c>
      <c r="P34" s="80"/>
    </row>
    <row r="35" spans="1:105">
      <c r="A35" s="194">
        <f t="shared" si="3"/>
        <v>18</v>
      </c>
      <c r="B35" s="195" t="s">
        <v>79</v>
      </c>
      <c r="C35" s="195"/>
      <c r="D35" s="237" t="s">
        <v>518</v>
      </c>
      <c r="E35" s="197" t="s">
        <v>65</v>
      </c>
      <c r="F35" s="199">
        <f>'Výkaz výměr'!N155</f>
        <v>8400</v>
      </c>
      <c r="G35" s="199">
        <v>1</v>
      </c>
      <c r="H35" s="203">
        <f t="shared" si="2"/>
        <v>8400</v>
      </c>
      <c r="P35" s="80"/>
    </row>
    <row r="36" spans="1:105">
      <c r="A36" s="681">
        <f t="shared" si="3"/>
        <v>19</v>
      </c>
      <c r="B36" s="195" t="s">
        <v>79</v>
      </c>
      <c r="C36" s="195"/>
      <c r="D36" s="237" t="s">
        <v>652</v>
      </c>
      <c r="E36" s="197" t="s">
        <v>60</v>
      </c>
      <c r="F36" s="199">
        <f>'Výkaz výměr'!K18</f>
        <v>148.4</v>
      </c>
      <c r="G36" s="199">
        <v>672</v>
      </c>
      <c r="H36" s="203">
        <f t="shared" si="2"/>
        <v>99724.800000000003</v>
      </c>
      <c r="P36" s="80"/>
    </row>
    <row r="37" spans="1:105">
      <c r="A37" s="194" t="s">
        <v>476</v>
      </c>
      <c r="B37" s="195" t="s">
        <v>80</v>
      </c>
      <c r="C37" s="195"/>
      <c r="D37" s="237" t="s">
        <v>477</v>
      </c>
      <c r="E37" s="197" t="s">
        <v>316</v>
      </c>
      <c r="F37" s="199">
        <f>'Výkaz výměr'!N157</f>
        <v>0</v>
      </c>
      <c r="G37" s="199">
        <v>4467</v>
      </c>
      <c r="H37" s="203">
        <f>F37*G37</f>
        <v>0</v>
      </c>
      <c r="P37" s="80"/>
    </row>
    <row r="38" spans="1:105">
      <c r="A38" s="194">
        <f>A36+1</f>
        <v>20</v>
      </c>
      <c r="B38" s="195" t="s">
        <v>80</v>
      </c>
      <c r="C38" s="195"/>
      <c r="D38" s="237" t="s">
        <v>146</v>
      </c>
      <c r="E38" s="197" t="s">
        <v>65</v>
      </c>
      <c r="F38" s="199">
        <f>'Výkaz výměr'!N94</f>
        <v>0</v>
      </c>
      <c r="G38" s="199">
        <v>14500</v>
      </c>
      <c r="H38" s="203">
        <f t="shared" si="2"/>
        <v>0</v>
      </c>
      <c r="P38" s="80"/>
    </row>
    <row r="39" spans="1:105">
      <c r="A39" s="204">
        <f t="shared" si="3"/>
        <v>21</v>
      </c>
      <c r="B39" s="205" t="s">
        <v>80</v>
      </c>
      <c r="C39" s="205"/>
      <c r="D39" s="206" t="s">
        <v>662</v>
      </c>
      <c r="E39" s="207" t="s">
        <v>60</v>
      </c>
      <c r="F39" s="208">
        <f>'Výkaz výměr'!N139</f>
        <v>30</v>
      </c>
      <c r="G39" s="208">
        <v>3500</v>
      </c>
      <c r="H39" s="209">
        <f t="shared" si="2"/>
        <v>105000</v>
      </c>
      <c r="P39" s="80"/>
    </row>
    <row r="40" spans="1:105">
      <c r="A40" s="204">
        <f t="shared" si="3"/>
        <v>22</v>
      </c>
      <c r="B40" s="205" t="s">
        <v>80</v>
      </c>
      <c r="C40" s="205"/>
      <c r="D40" s="206" t="s">
        <v>471</v>
      </c>
      <c r="E40" s="338" t="s">
        <v>65</v>
      </c>
      <c r="F40" s="339">
        <f>'Výkaz výměr'!N141</f>
        <v>2</v>
      </c>
      <c r="G40" s="339">
        <v>20000</v>
      </c>
      <c r="H40" s="340">
        <f t="shared" si="2"/>
        <v>40000</v>
      </c>
      <c r="P40" s="80"/>
    </row>
    <row r="41" spans="1:105">
      <c r="A41" s="194">
        <f t="shared" si="3"/>
        <v>23</v>
      </c>
      <c r="B41" s="195" t="s">
        <v>80</v>
      </c>
      <c r="C41" s="195"/>
      <c r="D41" s="237" t="s">
        <v>81</v>
      </c>
      <c r="E41" s="197" t="s">
        <v>60</v>
      </c>
      <c r="F41" s="199">
        <f>'Výkaz výměr'!N42</f>
        <v>111.416</v>
      </c>
      <c r="G41" s="199">
        <v>31.4</v>
      </c>
      <c r="H41" s="203">
        <f t="shared" si="2"/>
        <v>3498.4623999999999</v>
      </c>
      <c r="P41" s="80"/>
    </row>
    <row r="42" spans="1:105">
      <c r="A42" s="194">
        <f t="shared" si="3"/>
        <v>24</v>
      </c>
      <c r="B42" s="195" t="s">
        <v>80</v>
      </c>
      <c r="C42" s="195"/>
      <c r="D42" s="237" t="s">
        <v>82</v>
      </c>
      <c r="E42" s="197" t="s">
        <v>60</v>
      </c>
      <c r="F42" s="199">
        <f>F41</f>
        <v>111.416</v>
      </c>
      <c r="G42" s="199">
        <v>61.73</v>
      </c>
      <c r="H42" s="203">
        <f t="shared" si="2"/>
        <v>6877.709679999999</v>
      </c>
      <c r="I42" s="357"/>
      <c r="K42" s="358"/>
      <c r="P42" s="80"/>
    </row>
    <row r="43" spans="1:105">
      <c r="A43" s="194">
        <f t="shared" si="3"/>
        <v>25</v>
      </c>
      <c r="B43" s="195" t="s">
        <v>80</v>
      </c>
      <c r="C43" s="195"/>
      <c r="D43" s="237" t="s">
        <v>723</v>
      </c>
      <c r="E43" s="197" t="s">
        <v>60</v>
      </c>
      <c r="F43" s="199">
        <f>F41</f>
        <v>111.416</v>
      </c>
      <c r="G43" s="199">
        <v>21.62</v>
      </c>
      <c r="H43" s="203">
        <f t="shared" si="2"/>
        <v>2408.8139200000001</v>
      </c>
      <c r="P43" s="80"/>
      <c r="DA43" s="68">
        <v>0</v>
      </c>
    </row>
    <row r="44" spans="1:105">
      <c r="A44" s="194">
        <f t="shared" si="3"/>
        <v>26</v>
      </c>
      <c r="B44" s="195" t="s">
        <v>80</v>
      </c>
      <c r="C44" s="195"/>
      <c r="D44" s="237" t="s">
        <v>653</v>
      </c>
      <c r="E44" s="197" t="s">
        <v>60</v>
      </c>
      <c r="F44" s="199">
        <f>F41</f>
        <v>111.416</v>
      </c>
      <c r="G44" s="199">
        <v>464</v>
      </c>
      <c r="H44" s="203">
        <f t="shared" si="2"/>
        <v>51697.023999999998</v>
      </c>
      <c r="J44" s="76"/>
      <c r="P44" s="80"/>
      <c r="BD44" s="68">
        <f>IF(BA44=3,H42,0)</f>
        <v>0</v>
      </c>
      <c r="BE44" s="68">
        <f>IF(BA44=4,H42,0)</f>
        <v>0</v>
      </c>
      <c r="BF44" s="68">
        <f>IF(BA44=5,H42,0)</f>
        <v>0</v>
      </c>
      <c r="DA44" s="68">
        <v>0</v>
      </c>
    </row>
    <row r="45" spans="1:105">
      <c r="A45" s="194">
        <f t="shared" si="3"/>
        <v>27</v>
      </c>
      <c r="B45" s="195" t="s">
        <v>80</v>
      </c>
      <c r="C45" s="195"/>
      <c r="D45" s="237" t="s">
        <v>355</v>
      </c>
      <c r="E45" s="197" t="s">
        <v>60</v>
      </c>
      <c r="F45" s="199">
        <f>F41</f>
        <v>111.416</v>
      </c>
      <c r="G45" s="199">
        <v>369</v>
      </c>
      <c r="H45" s="203">
        <f t="shared" si="2"/>
        <v>41112.504000000001</v>
      </c>
      <c r="P45" s="80"/>
      <c r="BD45" s="68">
        <f>IF(BA45=3,H43,0)</f>
        <v>0</v>
      </c>
      <c r="BE45" s="68">
        <f>IF(BA45=4,H43,0)</f>
        <v>0</v>
      </c>
      <c r="BF45" s="68">
        <f>IF(BA45=5,H43,0)</f>
        <v>0</v>
      </c>
      <c r="DA45" s="68">
        <v>0</v>
      </c>
    </row>
    <row r="46" spans="1:105">
      <c r="A46" s="194">
        <f>A45+1</f>
        <v>28</v>
      </c>
      <c r="B46" s="195" t="s">
        <v>80</v>
      </c>
      <c r="C46" s="195"/>
      <c r="D46" s="237" t="s">
        <v>83</v>
      </c>
      <c r="E46" s="197" t="s">
        <v>75</v>
      </c>
      <c r="F46" s="199">
        <f>'Výkaz výměr'!F53</f>
        <v>33.926172000000001</v>
      </c>
      <c r="G46" s="199">
        <v>95.2</v>
      </c>
      <c r="H46" s="203">
        <f t="shared" si="2"/>
        <v>3229.7715744000002</v>
      </c>
      <c r="I46" s="358"/>
      <c r="P46" s="80"/>
      <c r="BD46" s="68">
        <f>IF(BA46=3,H44,0)</f>
        <v>0</v>
      </c>
      <c r="BE46" s="68">
        <f>IF(BA46=4,H44,0)</f>
        <v>0</v>
      </c>
      <c r="BF46" s="68">
        <f>IF(BA46=5,H44,0)</f>
        <v>0</v>
      </c>
      <c r="DA46" s="68">
        <v>0</v>
      </c>
    </row>
    <row r="47" spans="1:105">
      <c r="A47" s="200"/>
      <c r="B47" s="301" t="s">
        <v>57</v>
      </c>
      <c r="C47" s="301"/>
      <c r="D47" s="302" t="str">
        <f>CONCATENATE(B28," ",D28)</f>
        <v>C Kostra - doplňkové konstrukce</v>
      </c>
      <c r="E47" s="200"/>
      <c r="F47" s="303"/>
      <c r="G47" s="303"/>
      <c r="H47" s="305">
        <f>SUM(H29:H46)</f>
        <v>450751.07197439997</v>
      </c>
      <c r="I47" s="68">
        <f>I46*'Výkaz výměr'!N36</f>
        <v>0</v>
      </c>
      <c r="P47" s="80"/>
    </row>
    <row r="48" spans="1:105">
      <c r="A48" s="163"/>
      <c r="B48" s="180"/>
      <c r="C48" s="180"/>
      <c r="D48" s="179"/>
      <c r="E48" s="163"/>
      <c r="F48" s="178"/>
      <c r="G48" s="178"/>
      <c r="H48" s="168"/>
      <c r="P48" s="80"/>
      <c r="BD48" s="68">
        <f>IF(BA48=3,H46,0)</f>
        <v>0</v>
      </c>
      <c r="BE48" s="68">
        <f>IF(BA48=4,H46,0)</f>
        <v>0</v>
      </c>
      <c r="BF48" s="68">
        <f>IF(BA48=5,H46,0)</f>
        <v>0</v>
      </c>
      <c r="DA48" s="68">
        <v>0</v>
      </c>
    </row>
    <row r="49" spans="1:105">
      <c r="A49" s="163"/>
      <c r="B49" s="180"/>
      <c r="C49" s="180"/>
      <c r="D49" s="179"/>
      <c r="E49" s="163"/>
      <c r="F49" s="178"/>
      <c r="G49" s="178"/>
      <c r="H49" s="168"/>
      <c r="P49" s="80"/>
      <c r="BB49" s="81"/>
      <c r="BC49" s="81"/>
      <c r="BD49" s="81">
        <f>SUM(BD29:BD48)</f>
        <v>0</v>
      </c>
      <c r="BE49" s="81">
        <f>SUM(BE29:BE48)</f>
        <v>0</v>
      </c>
      <c r="BF49" s="81">
        <f>SUM(BF29:BF48)</f>
        <v>0</v>
      </c>
    </row>
    <row r="50" spans="1:105">
      <c r="A50" s="188" t="s">
        <v>56</v>
      </c>
      <c r="B50" s="189" t="s">
        <v>121</v>
      </c>
      <c r="C50" s="189"/>
      <c r="D50" s="190" t="s">
        <v>122</v>
      </c>
      <c r="E50" s="191"/>
      <c r="F50" s="192"/>
      <c r="G50" s="192"/>
      <c r="H50" s="193"/>
      <c r="P50" s="80"/>
      <c r="BB50" s="81"/>
      <c r="BC50" s="81"/>
      <c r="BD50" s="81"/>
      <c r="BE50" s="81"/>
      <c r="BF50" s="81"/>
    </row>
    <row r="51" spans="1:105">
      <c r="A51" s="194">
        <f>A46+1</f>
        <v>29</v>
      </c>
      <c r="B51" s="195" t="s">
        <v>777</v>
      </c>
      <c r="C51" s="195"/>
      <c r="D51" s="196" t="s">
        <v>84</v>
      </c>
      <c r="E51" s="197" t="s">
        <v>60</v>
      </c>
      <c r="F51" s="199">
        <f>'Výkaz výměr'!N59</f>
        <v>107.36</v>
      </c>
      <c r="G51" s="199">
        <v>43.5</v>
      </c>
      <c r="H51" s="203">
        <f t="shared" ref="H51:H59" si="4">F51*G51</f>
        <v>4670.16</v>
      </c>
      <c r="P51" s="80"/>
      <c r="BB51" s="81"/>
      <c r="BC51" s="81"/>
      <c r="BD51" s="81"/>
      <c r="BE51" s="81"/>
      <c r="BF51" s="81"/>
    </row>
    <row r="52" spans="1:105">
      <c r="A52" s="194">
        <f>A51+1</f>
        <v>30</v>
      </c>
      <c r="B52" s="195" t="s">
        <v>776</v>
      </c>
      <c r="C52" s="195"/>
      <c r="D52" s="196" t="s">
        <v>85</v>
      </c>
      <c r="E52" s="197" t="s">
        <v>60</v>
      </c>
      <c r="F52" s="199">
        <f>'Výkaz výměr'!N54</f>
        <v>81.12</v>
      </c>
      <c r="G52" s="199">
        <v>58.2</v>
      </c>
      <c r="H52" s="203">
        <f t="shared" si="4"/>
        <v>4721.1840000000002</v>
      </c>
      <c r="I52" s="79"/>
      <c r="J52" s="79"/>
      <c r="P52" s="80"/>
    </row>
    <row r="53" spans="1:105">
      <c r="A53" s="681">
        <f>A52+1</f>
        <v>31</v>
      </c>
      <c r="B53" s="195" t="s">
        <v>779</v>
      </c>
      <c r="C53" s="195"/>
      <c r="D53" s="196" t="s">
        <v>654</v>
      </c>
      <c r="E53" s="197" t="s">
        <v>60</v>
      </c>
      <c r="F53" s="199">
        <f>'Výkaz výměr'!K31+'Výkaz výměr'!K35</f>
        <v>201.12479999999999</v>
      </c>
      <c r="G53" s="199">
        <v>550</v>
      </c>
      <c r="H53" s="203">
        <f t="shared" si="4"/>
        <v>110618.64</v>
      </c>
      <c r="I53" s="68">
        <v>594</v>
      </c>
      <c r="P53" s="80"/>
      <c r="BD53" s="68">
        <f>IF(BA53=3,H51,0)</f>
        <v>0</v>
      </c>
      <c r="BE53" s="68">
        <f>IF(BA53=4,H51,0)</f>
        <v>0</v>
      </c>
      <c r="BF53" s="68">
        <f>IF(BA53=5,H51,0)</f>
        <v>0</v>
      </c>
      <c r="DA53" s="68">
        <v>0</v>
      </c>
    </row>
    <row r="54" spans="1:105" ht="14.25" customHeight="1">
      <c r="A54" s="194">
        <f>A53+1</f>
        <v>32</v>
      </c>
      <c r="B54" s="195" t="s">
        <v>778</v>
      </c>
      <c r="C54" s="195"/>
      <c r="D54" s="196" t="s">
        <v>441</v>
      </c>
      <c r="E54" s="197" t="s">
        <v>60</v>
      </c>
      <c r="F54" s="199">
        <f>'Výkaz výměr'!N66</f>
        <v>0</v>
      </c>
      <c r="G54" s="199">
        <v>58.2</v>
      </c>
      <c r="H54" s="203">
        <f t="shared" si="4"/>
        <v>0</v>
      </c>
      <c r="P54" s="80"/>
      <c r="BD54" s="68">
        <f>IF(BA54=3,H52,0)</f>
        <v>0</v>
      </c>
      <c r="BE54" s="68">
        <f>IF(BA54=4,H52,0)</f>
        <v>0</v>
      </c>
      <c r="BF54" s="68">
        <f>IF(BA54=5,H52,0)</f>
        <v>0</v>
      </c>
      <c r="DA54" s="68">
        <v>0</v>
      </c>
    </row>
    <row r="55" spans="1:105" ht="14.25" customHeight="1">
      <c r="A55" s="681">
        <f>A54+1</f>
        <v>33</v>
      </c>
      <c r="B55" s="195" t="s">
        <v>778</v>
      </c>
      <c r="C55" s="195"/>
      <c r="D55" s="196" t="s">
        <v>660</v>
      </c>
      <c r="E55" s="197" t="s">
        <v>60</v>
      </c>
      <c r="F55" s="199">
        <f>'Výkaz výměr'!D66</f>
        <v>0</v>
      </c>
      <c r="G55" s="199">
        <v>550</v>
      </c>
      <c r="H55" s="203">
        <f t="shared" si="4"/>
        <v>0</v>
      </c>
      <c r="I55" s="68">
        <v>594</v>
      </c>
      <c r="P55" s="80"/>
      <c r="BD55" s="68">
        <f>IF(BA55=3,H53,0)</f>
        <v>0</v>
      </c>
      <c r="BE55" s="68">
        <f>IF(BA55=4,H53,0)</f>
        <v>0</v>
      </c>
      <c r="BF55" s="68">
        <f>IF(BA55=5,H53,0)</f>
        <v>0</v>
      </c>
      <c r="DA55" s="68">
        <v>0</v>
      </c>
    </row>
    <row r="56" spans="1:105" ht="15" customHeight="1">
      <c r="A56" s="194">
        <f>A55+1</f>
        <v>34</v>
      </c>
      <c r="B56" s="195" t="s">
        <v>777</v>
      </c>
      <c r="C56" s="195"/>
      <c r="D56" s="196" t="s">
        <v>173</v>
      </c>
      <c r="E56" s="197" t="s">
        <v>60</v>
      </c>
      <c r="F56" s="199">
        <f>'Výkaz výměr'!N59</f>
        <v>107.36</v>
      </c>
      <c r="G56" s="199">
        <v>86.5</v>
      </c>
      <c r="H56" s="203">
        <f t="shared" si="4"/>
        <v>9286.64</v>
      </c>
      <c r="P56" s="80"/>
      <c r="BD56" s="68">
        <f>IF(BA56=3,H54,0)</f>
        <v>0</v>
      </c>
      <c r="BE56" s="68">
        <f>IF(BA56=4,H54,0)</f>
        <v>0</v>
      </c>
      <c r="BF56" s="68">
        <f>IF(BA56=5,H54,0)</f>
        <v>0</v>
      </c>
      <c r="DA56" s="68">
        <v>0</v>
      </c>
    </row>
    <row r="57" spans="1:105">
      <c r="A57" s="113" t="s">
        <v>171</v>
      </c>
      <c r="B57" s="210" t="s">
        <v>777</v>
      </c>
      <c r="C57" s="210"/>
      <c r="D57" s="196" t="s">
        <v>483</v>
      </c>
      <c r="E57" s="197" t="s">
        <v>60</v>
      </c>
      <c r="F57" s="199">
        <f>'Výkaz výměr'!D69</f>
        <v>115.94880000000001</v>
      </c>
      <c r="G57" s="199">
        <v>113.74</v>
      </c>
      <c r="H57" s="203">
        <f t="shared" si="4"/>
        <v>13188.016512</v>
      </c>
      <c r="I57" s="68">
        <v>122.84</v>
      </c>
      <c r="P57" s="80"/>
      <c r="BD57" s="68">
        <f>IF(BA57=3,H55,0)</f>
        <v>0</v>
      </c>
      <c r="BE57" s="68">
        <f>IF(BA57=4,H55,0)</f>
        <v>0</v>
      </c>
      <c r="BF57" s="68">
        <f>IF(BA57=5,H55,0)</f>
        <v>0</v>
      </c>
      <c r="DA57" s="68">
        <v>0</v>
      </c>
    </row>
    <row r="58" spans="1:105">
      <c r="A58" s="113" t="s">
        <v>172</v>
      </c>
      <c r="B58" s="210" t="s">
        <v>778</v>
      </c>
      <c r="C58" s="210"/>
      <c r="D58" s="196" t="s">
        <v>484</v>
      </c>
      <c r="E58" s="197" t="s">
        <v>60</v>
      </c>
      <c r="F58" s="199">
        <f>'Výkaz výměr'!N73*1.1</f>
        <v>16.5</v>
      </c>
      <c r="G58" s="199">
        <v>113.74</v>
      </c>
      <c r="H58" s="203">
        <f t="shared" si="4"/>
        <v>1876.7099999999998</v>
      </c>
      <c r="P58" s="80"/>
    </row>
    <row r="59" spans="1:105">
      <c r="A59" s="194">
        <f>A56+1</f>
        <v>35</v>
      </c>
      <c r="B59" s="195" t="s">
        <v>778</v>
      </c>
      <c r="C59" s="195"/>
      <c r="D59" s="196" t="s">
        <v>174</v>
      </c>
      <c r="E59" s="197" t="s">
        <v>60</v>
      </c>
      <c r="F59" s="199">
        <f>'Výkaz výměr'!N66</f>
        <v>0</v>
      </c>
      <c r="G59" s="199">
        <v>96.4</v>
      </c>
      <c r="H59" s="203">
        <f t="shared" si="4"/>
        <v>0</v>
      </c>
      <c r="P59" s="80"/>
    </row>
    <row r="60" spans="1:105">
      <c r="A60" s="200"/>
      <c r="B60" s="301" t="s">
        <v>57</v>
      </c>
      <c r="C60" s="301"/>
      <c r="D60" s="302" t="str">
        <f>CONCATENATE(B50," ",D50)</f>
        <v>D Tepelné izolace</v>
      </c>
      <c r="E60" s="200"/>
      <c r="F60" s="303"/>
      <c r="G60" s="303"/>
      <c r="H60" s="305">
        <f>SUM(H51:H59)</f>
        <v>144361.35051199998</v>
      </c>
      <c r="P60" s="80"/>
    </row>
    <row r="61" spans="1:105">
      <c r="A61" s="163"/>
      <c r="B61" s="180"/>
      <c r="C61" s="180"/>
      <c r="D61" s="179"/>
      <c r="E61" s="163"/>
      <c r="F61" s="178"/>
      <c r="G61" s="178"/>
      <c r="H61" s="168"/>
      <c r="P61" s="80"/>
    </row>
    <row r="62" spans="1:105">
      <c r="A62" s="163"/>
      <c r="B62" s="180"/>
      <c r="C62" s="180"/>
      <c r="D62" s="179"/>
      <c r="E62" s="163"/>
      <c r="F62" s="178"/>
      <c r="G62" s="178"/>
      <c r="H62" s="168"/>
      <c r="P62" s="80"/>
      <c r="BB62" s="81"/>
      <c r="BC62" s="81"/>
      <c r="BD62" s="81">
        <f>SUM(BD52:BD57)</f>
        <v>0</v>
      </c>
      <c r="BE62" s="81">
        <f>SUM(BE52:BE57)</f>
        <v>0</v>
      </c>
      <c r="BF62" s="81">
        <f>SUM(BF52:BF57)</f>
        <v>0</v>
      </c>
    </row>
    <row r="63" spans="1:105">
      <c r="A63" s="188" t="s">
        <v>56</v>
      </c>
      <c r="B63" s="189" t="s">
        <v>123</v>
      </c>
      <c r="C63" s="189"/>
      <c r="D63" s="190" t="s">
        <v>148</v>
      </c>
      <c r="E63" s="200"/>
      <c r="F63" s="201"/>
      <c r="G63" s="201"/>
      <c r="H63" s="202"/>
      <c r="P63" s="80"/>
      <c r="BB63" s="81"/>
      <c r="BC63" s="81"/>
      <c r="BD63" s="81"/>
      <c r="BE63" s="81"/>
      <c r="BF63" s="81"/>
    </row>
    <row r="64" spans="1:105" ht="21">
      <c r="A64" s="194">
        <f>A59+1</f>
        <v>36</v>
      </c>
      <c r="B64" s="195" t="s">
        <v>86</v>
      </c>
      <c r="C64" s="195"/>
      <c r="D64" s="196" t="s">
        <v>167</v>
      </c>
      <c r="E64" s="197" t="s">
        <v>60</v>
      </c>
      <c r="F64" s="199">
        <f>'Výkaz výměr'!D78</f>
        <v>16.5</v>
      </c>
      <c r="G64" s="199">
        <v>1006</v>
      </c>
      <c r="H64" s="203">
        <f t="shared" ref="H64:H71" si="5">F64*G64</f>
        <v>16599</v>
      </c>
      <c r="P64" s="80"/>
      <c r="BB64" s="81"/>
      <c r="BC64" s="81"/>
      <c r="BD64" s="81"/>
      <c r="BE64" s="81"/>
      <c r="BF64" s="81"/>
    </row>
    <row r="65" spans="1:58" ht="21">
      <c r="A65" s="194">
        <f>A64+1</f>
        <v>37</v>
      </c>
      <c r="B65" s="195" t="s">
        <v>86</v>
      </c>
      <c r="C65" s="195"/>
      <c r="D65" s="196" t="s">
        <v>159</v>
      </c>
      <c r="E65" s="197" t="s">
        <v>60</v>
      </c>
      <c r="F65" s="199">
        <f>'Výkaz výměr'!D79</f>
        <v>88</v>
      </c>
      <c r="G65" s="199">
        <v>919</v>
      </c>
      <c r="H65" s="203">
        <f t="shared" si="5"/>
        <v>80872</v>
      </c>
      <c r="I65" s="79"/>
      <c r="J65" s="79"/>
      <c r="P65" s="80"/>
    </row>
    <row r="66" spans="1:58" ht="21">
      <c r="A66" s="194">
        <f t="shared" ref="A66:A71" si="6">A65+1</f>
        <v>38</v>
      </c>
      <c r="B66" s="195" t="s">
        <v>87</v>
      </c>
      <c r="C66" s="195"/>
      <c r="D66" s="196" t="s">
        <v>158</v>
      </c>
      <c r="E66" s="197" t="s">
        <v>60</v>
      </c>
      <c r="F66" s="199">
        <f>'Výkaz výměr'!K45</f>
        <v>93.287999999999997</v>
      </c>
      <c r="G66" s="199">
        <v>627</v>
      </c>
      <c r="H66" s="203">
        <f>F66*G66</f>
        <v>58491.576000000001</v>
      </c>
      <c r="I66" s="79"/>
      <c r="J66" s="79"/>
      <c r="P66" s="80"/>
    </row>
    <row r="67" spans="1:58" ht="21">
      <c r="A67" s="194">
        <f t="shared" si="6"/>
        <v>39</v>
      </c>
      <c r="B67" s="195" t="s">
        <v>89</v>
      </c>
      <c r="C67" s="195"/>
      <c r="D67" s="211" t="s">
        <v>164</v>
      </c>
      <c r="E67" s="197" t="s">
        <v>60</v>
      </c>
      <c r="F67" s="199">
        <f>'Výkaz výměr'!D81*1.1</f>
        <v>118.096</v>
      </c>
      <c r="G67" s="199">
        <v>372</v>
      </c>
      <c r="H67" s="203">
        <f>F67*G67</f>
        <v>43931.712</v>
      </c>
      <c r="P67" s="80"/>
      <c r="AB67" s="68">
        <v>1</v>
      </c>
      <c r="AC67" s="68">
        <v>1</v>
      </c>
      <c r="AD67" s="68">
        <v>1</v>
      </c>
      <c r="BD67" s="68">
        <f>IF(BA67=3,H65,0)</f>
        <v>0</v>
      </c>
      <c r="BE67" s="68">
        <f>IF(BA67=4,H65,0)</f>
        <v>0</v>
      </c>
      <c r="BF67" s="68">
        <f>IF(BA67=5,H65,0)</f>
        <v>0</v>
      </c>
    </row>
    <row r="68" spans="1:58" ht="21">
      <c r="A68" s="194">
        <f t="shared" si="6"/>
        <v>40</v>
      </c>
      <c r="B68" s="195" t="s">
        <v>86</v>
      </c>
      <c r="C68" s="195"/>
      <c r="D68" s="196" t="s">
        <v>168</v>
      </c>
      <c r="E68" s="197" t="s">
        <v>60</v>
      </c>
      <c r="F68" s="199">
        <f>'Výkaz výměr'!D97</f>
        <v>0</v>
      </c>
      <c r="G68" s="199">
        <v>1006</v>
      </c>
      <c r="H68" s="203">
        <f>F68*G68</f>
        <v>0</v>
      </c>
      <c r="P68" s="80"/>
    </row>
    <row r="69" spans="1:58" ht="21">
      <c r="A69" s="194">
        <f t="shared" si="6"/>
        <v>41</v>
      </c>
      <c r="B69" s="195" t="s">
        <v>86</v>
      </c>
      <c r="C69" s="195"/>
      <c r="D69" s="196" t="s">
        <v>160</v>
      </c>
      <c r="E69" s="197" t="s">
        <v>60</v>
      </c>
      <c r="F69" s="199">
        <f>'Výkaz výměr'!K52</f>
        <v>0</v>
      </c>
      <c r="G69" s="199">
        <v>919</v>
      </c>
      <c r="H69" s="203">
        <f>F69*G69</f>
        <v>0</v>
      </c>
      <c r="P69" s="80"/>
    </row>
    <row r="70" spans="1:58" ht="21">
      <c r="A70" s="194">
        <f t="shared" si="6"/>
        <v>42</v>
      </c>
      <c r="B70" s="195" t="s">
        <v>87</v>
      </c>
      <c r="C70" s="195"/>
      <c r="D70" s="196" t="s">
        <v>139</v>
      </c>
      <c r="E70" s="197" t="s">
        <v>60</v>
      </c>
      <c r="F70" s="199">
        <f>'Výkaz výměr'!D100*1.1</f>
        <v>0</v>
      </c>
      <c r="G70" s="199">
        <v>517</v>
      </c>
      <c r="H70" s="203">
        <f t="shared" si="5"/>
        <v>0</v>
      </c>
      <c r="P70" s="80"/>
    </row>
    <row r="71" spans="1:58" ht="21">
      <c r="A71" s="194">
        <f t="shared" si="6"/>
        <v>43</v>
      </c>
      <c r="B71" s="195" t="s">
        <v>88</v>
      </c>
      <c r="C71" s="195"/>
      <c r="D71" s="196" t="s">
        <v>432</v>
      </c>
      <c r="E71" s="197" t="s">
        <v>60</v>
      </c>
      <c r="F71" s="199">
        <f>'Výkaz výměr'!N73</f>
        <v>15</v>
      </c>
      <c r="G71" s="199">
        <v>551</v>
      </c>
      <c r="H71" s="203">
        <f t="shared" si="5"/>
        <v>8265</v>
      </c>
      <c r="P71" s="80"/>
    </row>
    <row r="72" spans="1:58">
      <c r="A72" s="194"/>
      <c r="B72" s="195"/>
      <c r="C72" s="195"/>
      <c r="D72" s="196"/>
      <c r="E72" s="197"/>
      <c r="F72" s="199"/>
      <c r="G72" s="199"/>
      <c r="H72" s="203"/>
      <c r="P72" s="80"/>
      <c r="BD72" s="68">
        <f>IF(BA72=3,H70,0)</f>
        <v>0</v>
      </c>
      <c r="BE72" s="68">
        <f>IF(BA72=4,H70,0)</f>
        <v>0</v>
      </c>
      <c r="BF72" s="68">
        <f>IF(BA72=5,H70,0)</f>
        <v>0</v>
      </c>
    </row>
    <row r="73" spans="1:58">
      <c r="A73" s="200"/>
      <c r="B73" s="301" t="s">
        <v>57</v>
      </c>
      <c r="C73" s="301"/>
      <c r="D73" s="302" t="str">
        <f>CONCATENATE(B63," ",D63)</f>
        <v>F Sádrokartonové konstrukce</v>
      </c>
      <c r="E73" s="200"/>
      <c r="F73" s="303"/>
      <c r="G73" s="303"/>
      <c r="H73" s="305">
        <f>SUM(H64:H72)</f>
        <v>208159.288</v>
      </c>
      <c r="P73" s="80"/>
      <c r="BD73" s="68">
        <f>IF(BA73=3,H71,0)</f>
        <v>0</v>
      </c>
      <c r="BE73" s="68">
        <f>IF(BA73=4,H71,0)</f>
        <v>0</v>
      </c>
      <c r="BF73" s="68">
        <f>IF(BA73=5,H71,0)</f>
        <v>0</v>
      </c>
    </row>
    <row r="74" spans="1:58">
      <c r="A74" s="163"/>
      <c r="B74" s="180"/>
      <c r="C74" s="180"/>
      <c r="D74" s="179"/>
      <c r="E74" s="163"/>
      <c r="F74" s="178"/>
      <c r="G74" s="178"/>
      <c r="H74" s="168"/>
      <c r="P74" s="80"/>
      <c r="BD74" s="68">
        <f>IF(BA74=3,H72,0)</f>
        <v>0</v>
      </c>
      <c r="BE74" s="68">
        <f>IF(BA74=4,H72,0)</f>
        <v>0</v>
      </c>
      <c r="BF74" s="68">
        <f>IF(BA74=5,H72,0)</f>
        <v>0</v>
      </c>
    </row>
    <row r="75" spans="1:58">
      <c r="A75" s="163"/>
      <c r="B75" s="180"/>
      <c r="C75" s="180"/>
      <c r="D75" s="179"/>
      <c r="E75" s="163"/>
      <c r="F75" s="178"/>
      <c r="G75" s="178"/>
      <c r="H75" s="168"/>
      <c r="P75" s="80"/>
    </row>
    <row r="76" spans="1:58">
      <c r="A76" s="188" t="s">
        <v>56</v>
      </c>
      <c r="B76" s="189" t="s">
        <v>124</v>
      </c>
      <c r="C76" s="189"/>
      <c r="D76" s="190" t="s">
        <v>147</v>
      </c>
      <c r="E76" s="200"/>
      <c r="F76" s="201"/>
      <c r="G76" s="201"/>
      <c r="H76" s="202"/>
      <c r="P76" s="80"/>
      <c r="BB76" s="81"/>
      <c r="BC76" s="81"/>
      <c r="BD76" s="81">
        <f>SUM(BD65:BD74)</f>
        <v>0</v>
      </c>
      <c r="BE76" s="81">
        <f>SUM(BE65:BE74)</f>
        <v>0</v>
      </c>
      <c r="BF76" s="81">
        <f>SUM(BF65:BF74)</f>
        <v>0</v>
      </c>
    </row>
    <row r="77" spans="1:58">
      <c r="A77" s="194">
        <v>44</v>
      </c>
      <c r="B77" s="195"/>
      <c r="C77" s="195"/>
      <c r="D77" s="196" t="s">
        <v>444</v>
      </c>
      <c r="E77" s="197" t="s">
        <v>60</v>
      </c>
      <c r="F77" s="198">
        <f>'Výkaz výměr'!N127+'Výkaz výměr'!N128</f>
        <v>3.06</v>
      </c>
      <c r="G77" s="199">
        <v>268</v>
      </c>
      <c r="H77" s="203">
        <f t="shared" ref="H77:H82" si="7">F77*G77</f>
        <v>820.08</v>
      </c>
      <c r="I77" s="169"/>
      <c r="P77" s="80"/>
      <c r="BB77" s="81"/>
      <c r="BC77" s="81"/>
      <c r="BD77" s="81"/>
      <c r="BE77" s="81"/>
      <c r="BF77" s="81"/>
    </row>
    <row r="78" spans="1:58">
      <c r="A78" s="194">
        <f t="shared" ref="A78:A86" si="8">A77+1</f>
        <v>45</v>
      </c>
      <c r="B78" s="195" t="s">
        <v>80</v>
      </c>
      <c r="C78" s="195"/>
      <c r="D78" s="196" t="s">
        <v>150</v>
      </c>
      <c r="E78" s="197" t="s">
        <v>65</v>
      </c>
      <c r="F78" s="198"/>
      <c r="G78" s="199">
        <v>2600</v>
      </c>
      <c r="H78" s="203">
        <f t="shared" si="7"/>
        <v>0</v>
      </c>
      <c r="I78" s="79"/>
      <c r="J78" s="79"/>
      <c r="P78" s="80"/>
    </row>
    <row r="79" spans="1:58">
      <c r="A79" s="194">
        <f t="shared" si="8"/>
        <v>46</v>
      </c>
      <c r="B79" s="195" t="s">
        <v>98</v>
      </c>
      <c r="C79" s="195"/>
      <c r="D79" s="196" t="s">
        <v>488</v>
      </c>
      <c r="E79" s="197" t="s">
        <v>65</v>
      </c>
      <c r="F79" s="198">
        <f>F153</f>
        <v>8</v>
      </c>
      <c r="G79" s="199">
        <v>1000</v>
      </c>
      <c r="H79" s="203">
        <f t="shared" si="7"/>
        <v>8000</v>
      </c>
      <c r="P79" s="80"/>
      <c r="BD79" s="68">
        <f>IF(BA79=3,H77,0)</f>
        <v>0</v>
      </c>
      <c r="BE79" s="68">
        <f>IF(BA79=4,H77,0)</f>
        <v>0</v>
      </c>
      <c r="BF79" s="68">
        <f>IF(BA79=5,H77,0)</f>
        <v>0</v>
      </c>
    </row>
    <row r="80" spans="1:58">
      <c r="A80" s="194">
        <f t="shared" si="8"/>
        <v>47</v>
      </c>
      <c r="B80" s="195" t="s">
        <v>98</v>
      </c>
      <c r="C80" s="195"/>
      <c r="D80" s="196" t="s">
        <v>99</v>
      </c>
      <c r="E80" s="197" t="s">
        <v>60</v>
      </c>
      <c r="F80" s="198">
        <f>'Výkaz výměr'!N124</f>
        <v>3.06</v>
      </c>
      <c r="G80" s="199">
        <v>290</v>
      </c>
      <c r="H80" s="203">
        <f t="shared" si="7"/>
        <v>887.4</v>
      </c>
      <c r="P80" s="80"/>
    </row>
    <row r="81" spans="1:105">
      <c r="A81" s="194">
        <f t="shared" si="8"/>
        <v>48</v>
      </c>
      <c r="B81" s="195" t="s">
        <v>101</v>
      </c>
      <c r="C81" s="195"/>
      <c r="D81" s="196" t="s">
        <v>102</v>
      </c>
      <c r="E81" s="197" t="s">
        <v>60</v>
      </c>
      <c r="F81" s="198">
        <f>'Výkaz výměr'!N133</f>
        <v>27.2</v>
      </c>
      <c r="G81" s="199">
        <v>300</v>
      </c>
      <c r="H81" s="203">
        <f t="shared" si="7"/>
        <v>8160</v>
      </c>
      <c r="J81" s="358">
        <f>SUM(H80:H85)+H77</f>
        <v>10326.48</v>
      </c>
      <c r="P81" s="80"/>
    </row>
    <row r="82" spans="1:105">
      <c r="A82" s="194">
        <f t="shared" si="8"/>
        <v>49</v>
      </c>
      <c r="B82" s="195" t="s">
        <v>80</v>
      </c>
      <c r="C82" s="195"/>
      <c r="D82" s="196" t="s">
        <v>161</v>
      </c>
      <c r="E82" s="197" t="s">
        <v>63</v>
      </c>
      <c r="F82" s="198">
        <f>'Výkaz výměr'!N124*150</f>
        <v>459</v>
      </c>
      <c r="G82" s="199">
        <v>1</v>
      </c>
      <c r="H82" s="203">
        <f t="shared" si="7"/>
        <v>459</v>
      </c>
      <c r="P82" s="80"/>
    </row>
    <row r="83" spans="1:105">
      <c r="A83" s="194">
        <f t="shared" si="8"/>
        <v>50</v>
      </c>
      <c r="B83" s="195" t="s">
        <v>98</v>
      </c>
      <c r="C83" s="195"/>
      <c r="D83" s="196" t="s">
        <v>100</v>
      </c>
      <c r="E83" s="197" t="s">
        <v>60</v>
      </c>
      <c r="F83" s="198">
        <f>'Výkaz výměr'!N125</f>
        <v>0</v>
      </c>
      <c r="G83" s="199">
        <v>290</v>
      </c>
      <c r="H83" s="203">
        <f t="shared" ref="H83:H91" si="9">F83*G83</f>
        <v>0</v>
      </c>
      <c r="P83" s="80"/>
    </row>
    <row r="84" spans="1:105">
      <c r="A84" s="194">
        <f t="shared" si="8"/>
        <v>51</v>
      </c>
      <c r="B84" s="195" t="s">
        <v>101</v>
      </c>
      <c r="C84" s="195"/>
      <c r="D84" s="196" t="s">
        <v>103</v>
      </c>
      <c r="E84" s="197" t="s">
        <v>60</v>
      </c>
      <c r="F84" s="198">
        <f>'Výkaz výměr'!J74</f>
        <v>0</v>
      </c>
      <c r="G84" s="199">
        <v>300</v>
      </c>
      <c r="H84" s="203">
        <f t="shared" si="9"/>
        <v>0</v>
      </c>
      <c r="P84" s="80"/>
    </row>
    <row r="85" spans="1:105">
      <c r="A85" s="194">
        <f t="shared" si="8"/>
        <v>52</v>
      </c>
      <c r="B85" s="195" t="s">
        <v>80</v>
      </c>
      <c r="C85" s="195"/>
      <c r="D85" s="196" t="s">
        <v>162</v>
      </c>
      <c r="E85" s="197" t="s">
        <v>63</v>
      </c>
      <c r="F85" s="198">
        <f>'Výkaz výměr'!N125*150</f>
        <v>0</v>
      </c>
      <c r="G85" s="199">
        <v>1</v>
      </c>
      <c r="H85" s="203">
        <f t="shared" si="9"/>
        <v>0</v>
      </c>
      <c r="P85" s="80"/>
    </row>
    <row r="86" spans="1:105">
      <c r="A86" s="495">
        <f t="shared" si="8"/>
        <v>53</v>
      </c>
      <c r="B86" s="195" t="s">
        <v>80</v>
      </c>
      <c r="C86" s="195"/>
      <c r="D86" s="196" t="s">
        <v>588</v>
      </c>
      <c r="E86" s="197" t="s">
        <v>60</v>
      </c>
      <c r="F86" s="199">
        <f>'Výkaz výměr'!D130</f>
        <v>93.287999999999997</v>
      </c>
      <c r="G86" s="198">
        <v>175</v>
      </c>
      <c r="H86" s="775">
        <f t="shared" si="9"/>
        <v>16325.4</v>
      </c>
      <c r="P86" s="80"/>
      <c r="BD86" s="68">
        <f>IF(BA86=3,H84,0)</f>
        <v>0</v>
      </c>
      <c r="BE86" s="68">
        <f>IF(BA86=4,H84,0)</f>
        <v>0</v>
      </c>
      <c r="BF86" s="68">
        <f>IF(BA86=5,H84,0)</f>
        <v>0</v>
      </c>
      <c r="DA86" s="68">
        <v>0</v>
      </c>
    </row>
    <row r="87" spans="1:105">
      <c r="A87" s="495">
        <v>54</v>
      </c>
      <c r="B87" s="195" t="s">
        <v>80</v>
      </c>
      <c r="C87" s="195"/>
      <c r="D87" s="196" t="s">
        <v>589</v>
      </c>
      <c r="E87" s="197" t="s">
        <v>60</v>
      </c>
      <c r="F87" s="199">
        <f>'Výkaz výměr'!D131</f>
        <v>81.12</v>
      </c>
      <c r="G87" s="198">
        <v>106</v>
      </c>
      <c r="H87" s="775">
        <f t="shared" si="9"/>
        <v>8598.7200000000012</v>
      </c>
      <c r="I87" s="358"/>
      <c r="P87" s="80"/>
      <c r="BD87" s="68">
        <f>IF(BA87=3,H85,0)</f>
        <v>0</v>
      </c>
      <c r="BE87" s="68">
        <f>IF(BA87=4,H85,0)</f>
        <v>0</v>
      </c>
      <c r="BF87" s="68">
        <f>IF(BA87=5,H85,0)</f>
        <v>0</v>
      </c>
      <c r="DA87" s="68">
        <v>0</v>
      </c>
    </row>
    <row r="88" spans="1:105">
      <c r="A88" s="681">
        <v>55</v>
      </c>
      <c r="B88" s="195" t="s">
        <v>80</v>
      </c>
      <c r="C88" s="195"/>
      <c r="D88" s="196" t="s">
        <v>655</v>
      </c>
      <c r="E88" s="197" t="s">
        <v>60</v>
      </c>
      <c r="F88" s="199">
        <f>'Výkaz výměr'!D132</f>
        <v>93.287999999999997</v>
      </c>
      <c r="G88" s="198">
        <v>480</v>
      </c>
      <c r="H88" s="775">
        <f t="shared" si="9"/>
        <v>44778.239999999998</v>
      </c>
      <c r="P88" s="80"/>
    </row>
    <row r="89" spans="1:105">
      <c r="A89" s="681">
        <v>56</v>
      </c>
      <c r="B89" s="195" t="s">
        <v>80</v>
      </c>
      <c r="C89" s="195"/>
      <c r="D89" s="196" t="s">
        <v>656</v>
      </c>
      <c r="E89" s="197" t="s">
        <v>60</v>
      </c>
      <c r="F89" s="199">
        <f>'Výkaz výměr'!R53</f>
        <v>0</v>
      </c>
      <c r="G89" s="198">
        <v>420</v>
      </c>
      <c r="H89" s="775">
        <f t="shared" si="9"/>
        <v>0</v>
      </c>
      <c r="I89" s="358"/>
      <c r="J89" s="358">
        <f>SUM(H86:H91)</f>
        <v>135095.22</v>
      </c>
      <c r="P89" s="80"/>
    </row>
    <row r="90" spans="1:105">
      <c r="A90" s="495">
        <v>57</v>
      </c>
      <c r="B90" s="195" t="s">
        <v>80</v>
      </c>
      <c r="C90" s="195"/>
      <c r="D90" s="196" t="s">
        <v>657</v>
      </c>
      <c r="E90" s="197" t="s">
        <v>60</v>
      </c>
      <c r="F90" s="199">
        <f>'Výkaz výměr'!K61</f>
        <v>93.287999999999997</v>
      </c>
      <c r="G90" s="198">
        <v>557.5</v>
      </c>
      <c r="H90" s="775">
        <f t="shared" si="9"/>
        <v>52008.06</v>
      </c>
      <c r="P90" s="80"/>
    </row>
    <row r="91" spans="1:105">
      <c r="A91" s="194">
        <v>58</v>
      </c>
      <c r="B91" s="195" t="s">
        <v>80</v>
      </c>
      <c r="C91" s="195"/>
      <c r="D91" s="196" t="s">
        <v>507</v>
      </c>
      <c r="E91" s="197" t="s">
        <v>60</v>
      </c>
      <c r="F91" s="199">
        <f>'Výkaz výměr'!J61</f>
        <v>81.12</v>
      </c>
      <c r="G91" s="198">
        <v>165</v>
      </c>
      <c r="H91" s="775">
        <f t="shared" si="9"/>
        <v>13384.800000000001</v>
      </c>
      <c r="P91" s="80"/>
    </row>
    <row r="92" spans="1:105" ht="12" customHeight="1">
      <c r="A92" s="200"/>
      <c r="B92" s="301" t="s">
        <v>57</v>
      </c>
      <c r="C92" s="301"/>
      <c r="D92" s="302" t="str">
        <f>CONCATENATE(B76," ",D76)</f>
        <v>G Ostatní práce</v>
      </c>
      <c r="E92" s="200"/>
      <c r="F92" s="303"/>
      <c r="G92" s="303"/>
      <c r="H92" s="305">
        <f>SUM(H77:H91)</f>
        <v>153421.69999999998</v>
      </c>
      <c r="K92" s="76"/>
      <c r="P92" s="80"/>
    </row>
    <row r="93" spans="1:105" ht="13.5" customHeight="1">
      <c r="A93" s="163"/>
      <c r="B93" s="180"/>
      <c r="C93" s="180"/>
      <c r="D93" s="179"/>
      <c r="E93" s="163"/>
      <c r="F93" s="178"/>
      <c r="G93" s="178"/>
      <c r="H93" s="168"/>
      <c r="P93" s="80"/>
    </row>
    <row r="94" spans="1:105" ht="13.5" customHeight="1">
      <c r="A94" s="163"/>
      <c r="B94" s="180"/>
      <c r="C94" s="180"/>
      <c r="D94" s="179"/>
      <c r="E94" s="163"/>
      <c r="F94" s="178"/>
      <c r="G94" s="178"/>
      <c r="H94" s="168"/>
      <c r="P94" s="80"/>
    </row>
    <row r="95" spans="1:105">
      <c r="A95" s="188" t="s">
        <v>56</v>
      </c>
      <c r="B95" s="189" t="s">
        <v>128</v>
      </c>
      <c r="C95" s="189"/>
      <c r="D95" s="245" t="s">
        <v>136</v>
      </c>
      <c r="E95" s="200"/>
      <c r="F95" s="201"/>
      <c r="G95" s="201"/>
      <c r="H95" s="202"/>
      <c r="P95" s="80"/>
      <c r="BB95" s="81"/>
      <c r="BC95" s="81"/>
      <c r="BD95" s="81">
        <f>SUM(BD78:BD87)</f>
        <v>0</v>
      </c>
      <c r="BE95" s="81">
        <f>SUM(BE78:BE87)</f>
        <v>0</v>
      </c>
      <c r="BF95" s="81">
        <f>SUM(BF78:BF87)</f>
        <v>0</v>
      </c>
    </row>
    <row r="96" spans="1:105">
      <c r="A96" s="194">
        <v>59</v>
      </c>
      <c r="B96" s="195" t="s">
        <v>80</v>
      </c>
      <c r="C96" s="195"/>
      <c r="D96" s="196" t="s">
        <v>330</v>
      </c>
      <c r="E96" s="197" t="s">
        <v>60</v>
      </c>
      <c r="F96" s="199">
        <f>'Výkaz výměr'!D139</f>
        <v>370.28000000000003</v>
      </c>
      <c r="G96" s="199">
        <v>39</v>
      </c>
      <c r="H96" s="203">
        <f>F96*G96</f>
        <v>14440.920000000002</v>
      </c>
      <c r="P96" s="80"/>
      <c r="BB96" s="81"/>
      <c r="BC96" s="81"/>
      <c r="BD96" s="81"/>
      <c r="BE96" s="81"/>
      <c r="BF96" s="81"/>
    </row>
    <row r="97" spans="1:58">
      <c r="A97" s="194">
        <f>A96+1</f>
        <v>60</v>
      </c>
      <c r="B97" s="195" t="s">
        <v>80</v>
      </c>
      <c r="C97" s="195"/>
      <c r="D97" s="196" t="s">
        <v>331</v>
      </c>
      <c r="E97" s="197" t="s">
        <v>60</v>
      </c>
      <c r="F97" s="199">
        <f>'Výkaz výměr'!D140</f>
        <v>15</v>
      </c>
      <c r="G97" s="199">
        <v>39</v>
      </c>
      <c r="H97" s="203">
        <f>F97*G97</f>
        <v>585</v>
      </c>
      <c r="P97" s="80"/>
      <c r="BB97" s="81"/>
      <c r="BC97" s="81"/>
      <c r="BD97" s="81"/>
      <c r="BE97" s="81"/>
      <c r="BF97" s="81"/>
    </row>
    <row r="98" spans="1:58">
      <c r="A98" s="200"/>
      <c r="B98" s="301" t="s">
        <v>57</v>
      </c>
      <c r="C98" s="301"/>
      <c r="D98" s="302" t="str">
        <f>CONCATENATE(B95," ",D95)</f>
        <v>I Malby</v>
      </c>
      <c r="E98" s="200"/>
      <c r="F98" s="303"/>
      <c r="G98" s="303"/>
      <c r="H98" s="305">
        <f>SUM(H96:H97)</f>
        <v>15025.920000000002</v>
      </c>
      <c r="P98" s="80"/>
      <c r="BB98" s="81"/>
      <c r="BC98" s="81"/>
      <c r="BD98" s="81"/>
      <c r="BE98" s="81"/>
      <c r="BF98" s="81"/>
    </row>
    <row r="99" spans="1:58">
      <c r="A99" s="163"/>
      <c r="B99" s="180"/>
      <c r="C99" s="180"/>
      <c r="D99" s="179"/>
      <c r="E99" s="163"/>
      <c r="F99" s="178"/>
      <c r="G99" s="178"/>
      <c r="H99" s="168"/>
      <c r="P99" s="80"/>
      <c r="BB99" s="81"/>
      <c r="BC99" s="81"/>
      <c r="BD99" s="81"/>
      <c r="BE99" s="81"/>
      <c r="BF99" s="81"/>
    </row>
    <row r="100" spans="1:58">
      <c r="A100" s="163"/>
      <c r="B100" s="180"/>
      <c r="C100" s="180"/>
      <c r="D100" s="179"/>
      <c r="E100" s="163"/>
      <c r="F100" s="178"/>
      <c r="G100" s="178"/>
      <c r="H100" s="168"/>
      <c r="P100" s="80"/>
      <c r="BB100" s="81"/>
      <c r="BC100" s="81"/>
      <c r="BD100" s="81"/>
      <c r="BE100" s="81"/>
      <c r="BF100" s="81"/>
    </row>
    <row r="101" spans="1:58">
      <c r="A101" s="188" t="s">
        <v>56</v>
      </c>
      <c r="B101" s="189" t="s">
        <v>130</v>
      </c>
      <c r="C101" s="189"/>
      <c r="D101" s="245" t="s">
        <v>108</v>
      </c>
      <c r="E101" s="200"/>
      <c r="F101" s="201"/>
      <c r="G101" s="201"/>
      <c r="H101" s="202"/>
      <c r="P101" s="80"/>
      <c r="BB101" s="81"/>
      <c r="BC101" s="81"/>
      <c r="BD101" s="81"/>
      <c r="BE101" s="81"/>
      <c r="BF101" s="81"/>
    </row>
    <row r="102" spans="1:58">
      <c r="A102" s="194">
        <f>A97+1</f>
        <v>61</v>
      </c>
      <c r="B102" s="195" t="s">
        <v>109</v>
      </c>
      <c r="C102" s="195"/>
      <c r="D102" s="196" t="s">
        <v>306</v>
      </c>
      <c r="E102" s="197" t="s">
        <v>63</v>
      </c>
      <c r="F102" s="199">
        <v>1</v>
      </c>
      <c r="G102" s="199">
        <f>(H25+H47+H60+H73)*0.025</f>
        <v>25761.092086959998</v>
      </c>
      <c r="H102" s="203">
        <f>F102*G102</f>
        <v>25761.092086959998</v>
      </c>
      <c r="I102" s="169"/>
      <c r="P102" s="80"/>
      <c r="BB102" s="81"/>
      <c r="BC102" s="81"/>
      <c r="BD102" s="81"/>
      <c r="BE102" s="81"/>
      <c r="BF102" s="81"/>
    </row>
    <row r="103" spans="1:58">
      <c r="A103" s="200"/>
      <c r="B103" s="301" t="s">
        <v>57</v>
      </c>
      <c r="C103" s="301"/>
      <c r="D103" s="302" t="str">
        <f>CONCATENATE(B101," ",D101)</f>
        <v>J Staveništní přesun hmot</v>
      </c>
      <c r="E103" s="200"/>
      <c r="F103" s="303"/>
      <c r="G103" s="303"/>
      <c r="H103" s="305">
        <f>SUM(H102)</f>
        <v>25761.092086959998</v>
      </c>
      <c r="P103" s="80"/>
      <c r="BB103" s="81"/>
      <c r="BC103" s="81"/>
      <c r="BD103" s="81"/>
      <c r="BE103" s="81"/>
      <c r="BF103" s="81"/>
    </row>
    <row r="104" spans="1:58">
      <c r="A104" s="163"/>
      <c r="B104" s="180"/>
      <c r="C104" s="180"/>
      <c r="D104" s="179"/>
      <c r="E104" s="163"/>
      <c r="F104" s="178"/>
      <c r="G104" s="178"/>
      <c r="H104" s="168"/>
      <c r="P104" s="80"/>
      <c r="BB104" s="81"/>
      <c r="BC104" s="81"/>
      <c r="BD104" s="81"/>
      <c r="BE104" s="81"/>
      <c r="BF104" s="81"/>
    </row>
    <row r="105" spans="1:58">
      <c r="A105" s="163"/>
      <c r="B105" s="180"/>
      <c r="C105" s="180"/>
      <c r="D105" s="179"/>
      <c r="E105" s="163"/>
      <c r="F105" s="178"/>
      <c r="G105" s="178"/>
      <c r="H105" s="168"/>
      <c r="P105" s="80"/>
      <c r="BB105" s="81"/>
      <c r="BC105" s="81"/>
      <c r="BD105" s="81"/>
      <c r="BE105" s="81"/>
      <c r="BF105" s="81"/>
    </row>
    <row r="106" spans="1:58" ht="17.25" customHeight="1" thickBot="1">
      <c r="A106" s="163"/>
      <c r="B106" s="180"/>
      <c r="C106" s="180"/>
      <c r="D106" s="179"/>
      <c r="E106" s="163"/>
      <c r="F106" s="178"/>
      <c r="G106" s="178"/>
      <c r="H106" s="168"/>
      <c r="P106" s="80"/>
      <c r="BB106" s="81"/>
      <c r="BC106" s="81"/>
      <c r="BD106" s="81"/>
      <c r="BE106" s="81"/>
      <c r="BF106" s="81"/>
    </row>
    <row r="107" spans="1:58" ht="13.8" thickBot="1">
      <c r="A107" s="306"/>
      <c r="B107" s="307"/>
      <c r="C107" s="308"/>
      <c r="D107" s="309" t="s">
        <v>149</v>
      </c>
      <c r="E107" s="310"/>
      <c r="F107" s="311"/>
      <c r="G107" s="311"/>
      <c r="H107" s="312"/>
      <c r="P107" s="80"/>
      <c r="BB107" s="81"/>
      <c r="BC107" s="81"/>
      <c r="BD107" s="81"/>
      <c r="BE107" s="81"/>
      <c r="BF107" s="81"/>
    </row>
    <row r="108" spans="1:58">
      <c r="A108" s="163"/>
      <c r="B108" s="180"/>
      <c r="C108" s="180"/>
      <c r="D108" s="182"/>
      <c r="E108" s="163"/>
      <c r="F108" s="178"/>
      <c r="G108" s="178"/>
      <c r="H108" s="168"/>
      <c r="I108" s="82"/>
      <c r="P108" s="80"/>
      <c r="BB108" s="81"/>
      <c r="BC108" s="81"/>
      <c r="BD108" s="81"/>
      <c r="BE108" s="81"/>
      <c r="BF108" s="81"/>
    </row>
    <row r="109" spans="1:58">
      <c r="A109" s="313" t="s">
        <v>56</v>
      </c>
      <c r="B109" s="314" t="s">
        <v>151</v>
      </c>
      <c r="C109" s="314"/>
      <c r="D109" s="315" t="s">
        <v>125</v>
      </c>
      <c r="E109" s="212"/>
      <c r="F109" s="316"/>
      <c r="G109" s="316"/>
      <c r="H109" s="317"/>
      <c r="P109" s="80"/>
      <c r="BB109" s="81"/>
      <c r="BC109" s="81"/>
      <c r="BD109" s="81"/>
      <c r="BE109" s="81"/>
      <c r="BF109" s="81"/>
    </row>
    <row r="110" spans="1:58">
      <c r="A110" s="194">
        <f>A102+1</f>
        <v>62</v>
      </c>
      <c r="B110" s="195" t="s">
        <v>80</v>
      </c>
      <c r="C110" s="195"/>
      <c r="D110" s="196" t="s">
        <v>90</v>
      </c>
      <c r="E110" s="197" t="s">
        <v>63</v>
      </c>
      <c r="F110" s="199">
        <v>1</v>
      </c>
      <c r="G110" s="199">
        <v>15000</v>
      </c>
      <c r="H110" s="203">
        <f>F110*G110</f>
        <v>15000</v>
      </c>
      <c r="P110" s="80"/>
      <c r="BB110" s="81"/>
      <c r="BC110" s="81"/>
      <c r="BD110" s="81"/>
      <c r="BE110" s="81"/>
      <c r="BF110" s="81"/>
    </row>
    <row r="111" spans="1:58">
      <c r="A111" s="194">
        <f>A110+1</f>
        <v>63</v>
      </c>
      <c r="B111" s="195" t="s">
        <v>80</v>
      </c>
      <c r="C111" s="195"/>
      <c r="D111" s="196" t="s">
        <v>91</v>
      </c>
      <c r="E111" s="197" t="s">
        <v>63</v>
      </c>
      <c r="F111" s="199">
        <v>1</v>
      </c>
      <c r="G111" s="199">
        <v>18000</v>
      </c>
      <c r="H111" s="203">
        <f>F111*G111</f>
        <v>18000</v>
      </c>
      <c r="I111" s="79"/>
      <c r="J111" s="79"/>
      <c r="P111" s="80"/>
    </row>
    <row r="112" spans="1:58">
      <c r="A112" s="194">
        <v>64</v>
      </c>
      <c r="B112" s="195" t="s">
        <v>80</v>
      </c>
      <c r="C112" s="195"/>
      <c r="D112" s="196" t="s">
        <v>438</v>
      </c>
      <c r="E112" s="197" t="s">
        <v>63</v>
      </c>
      <c r="F112" s="199">
        <v>1</v>
      </c>
      <c r="G112" s="199">
        <v>15000</v>
      </c>
      <c r="H112" s="203">
        <f>G112*F112</f>
        <v>15000</v>
      </c>
      <c r="P112" s="80"/>
    </row>
    <row r="113" spans="1:105">
      <c r="A113" s="212"/>
      <c r="B113" s="213" t="s">
        <v>57</v>
      </c>
      <c r="C113" s="213"/>
      <c r="D113" s="214" t="str">
        <f>CONCATENATE(B109," ",D109)</f>
        <v>K Vnitřní instalace</v>
      </c>
      <c r="E113" s="212"/>
      <c r="F113" s="215"/>
      <c r="G113" s="215"/>
      <c r="H113" s="216">
        <f>H110+H111+H112</f>
        <v>48000</v>
      </c>
      <c r="P113" s="80"/>
    </row>
    <row r="114" spans="1:105">
      <c r="A114" s="163"/>
      <c r="B114" s="180"/>
      <c r="C114" s="180"/>
      <c r="D114" s="179"/>
      <c r="E114" s="163"/>
      <c r="F114" s="178"/>
      <c r="G114" s="178"/>
      <c r="H114" s="168"/>
      <c r="P114" s="80"/>
    </row>
    <row r="115" spans="1:105">
      <c r="A115" s="313" t="s">
        <v>56</v>
      </c>
      <c r="B115" s="314" t="s">
        <v>132</v>
      </c>
      <c r="C115" s="314"/>
      <c r="D115" s="315" t="s">
        <v>126</v>
      </c>
      <c r="E115" s="212"/>
      <c r="F115" s="316"/>
      <c r="G115" s="316"/>
      <c r="H115" s="317"/>
      <c r="P115" s="80"/>
      <c r="BB115" s="81"/>
      <c r="BC115" s="81"/>
      <c r="BD115" s="81"/>
      <c r="BE115" s="81"/>
      <c r="BF115" s="81"/>
    </row>
    <row r="116" spans="1:105">
      <c r="A116" s="194">
        <v>65</v>
      </c>
      <c r="B116" s="195" t="s">
        <v>80</v>
      </c>
      <c r="C116" s="195"/>
      <c r="D116" s="196" t="s">
        <v>127</v>
      </c>
      <c r="E116" s="197" t="s">
        <v>63</v>
      </c>
      <c r="F116" s="199">
        <v>1</v>
      </c>
      <c r="G116" s="199">
        <v>25000</v>
      </c>
      <c r="H116" s="203">
        <f>F116*G116</f>
        <v>25000</v>
      </c>
      <c r="P116" s="80"/>
      <c r="BB116" s="81"/>
      <c r="BC116" s="81"/>
      <c r="BD116" s="81"/>
      <c r="BE116" s="81"/>
      <c r="BF116" s="81"/>
    </row>
    <row r="117" spans="1:105">
      <c r="A117" s="194">
        <f>A116+1</f>
        <v>66</v>
      </c>
      <c r="B117" s="195" t="s">
        <v>80</v>
      </c>
      <c r="C117" s="195"/>
      <c r="D117" s="196" t="s">
        <v>93</v>
      </c>
      <c r="E117" s="197" t="s">
        <v>63</v>
      </c>
      <c r="F117" s="199">
        <v>1</v>
      </c>
      <c r="G117" s="199">
        <v>6000</v>
      </c>
      <c r="H117" s="203">
        <f>F117*G117</f>
        <v>6000</v>
      </c>
      <c r="I117" s="79"/>
      <c r="J117" s="79"/>
      <c r="P117" s="80"/>
    </row>
    <row r="118" spans="1:105">
      <c r="A118" s="194">
        <f>A117+1</f>
        <v>67</v>
      </c>
      <c r="B118" s="195" t="s">
        <v>80</v>
      </c>
      <c r="C118" s="195"/>
      <c r="D118" s="196" t="s">
        <v>92</v>
      </c>
      <c r="E118" s="197" t="s">
        <v>63</v>
      </c>
      <c r="F118" s="199">
        <v>1</v>
      </c>
      <c r="G118" s="199">
        <v>12000</v>
      </c>
      <c r="H118" s="203">
        <f>F118*G118</f>
        <v>12000</v>
      </c>
      <c r="P118" s="80"/>
      <c r="BD118" s="68">
        <f>IF(BA118=3,H116,0)</f>
        <v>0</v>
      </c>
      <c r="BE118" s="68">
        <f>IF(BA118=4,H116,0)</f>
        <v>0</v>
      </c>
      <c r="BF118" s="68">
        <f>IF(BA118=5,H116,0)</f>
        <v>0</v>
      </c>
      <c r="DA118" s="68">
        <v>0</v>
      </c>
    </row>
    <row r="119" spans="1:105">
      <c r="A119" s="194">
        <f>A118+1</f>
        <v>68</v>
      </c>
      <c r="B119" s="195" t="s">
        <v>80</v>
      </c>
      <c r="C119" s="195"/>
      <c r="D119" s="196" t="s">
        <v>94</v>
      </c>
      <c r="E119" s="197" t="s">
        <v>63</v>
      </c>
      <c r="F119" s="199">
        <v>1</v>
      </c>
      <c r="G119" s="199">
        <v>4000</v>
      </c>
      <c r="H119" s="203">
        <f>F119*G119</f>
        <v>4000</v>
      </c>
      <c r="P119" s="80"/>
      <c r="BD119" s="68">
        <f>IF(BA119=3,H117,0)</f>
        <v>0</v>
      </c>
      <c r="BE119" s="68">
        <f>IF(BA119=4,H117,0)</f>
        <v>0</v>
      </c>
      <c r="BF119" s="68">
        <f>IF(BA119=5,H117,0)</f>
        <v>0</v>
      </c>
      <c r="DA119" s="68">
        <v>0</v>
      </c>
    </row>
    <row r="120" spans="1:105" ht="13.8" thickBot="1">
      <c r="A120" s="217"/>
      <c r="B120" s="218" t="s">
        <v>57</v>
      </c>
      <c r="C120" s="218"/>
      <c r="D120" s="219" t="str">
        <f>CONCATENATE(B115," ",D115)</f>
        <v>L Zařizovací předměty</v>
      </c>
      <c r="E120" s="220"/>
      <c r="F120" s="221"/>
      <c r="G120" s="221"/>
      <c r="H120" s="222">
        <f>SUM(H116:H119)</f>
        <v>47000</v>
      </c>
      <c r="P120" s="80"/>
    </row>
    <row r="121" spans="1:105">
      <c r="A121" s="183"/>
      <c r="B121" s="184"/>
      <c r="C121" s="184"/>
      <c r="D121" s="185"/>
      <c r="E121" s="183"/>
      <c r="F121" s="186"/>
      <c r="G121" s="186"/>
      <c r="H121" s="187"/>
      <c r="P121" s="80"/>
      <c r="BD121" s="68">
        <f>IF(BA121=3,H119,0)</f>
        <v>0</v>
      </c>
      <c r="BE121" s="68">
        <f>IF(BA121=4,H119,0)</f>
        <v>0</v>
      </c>
      <c r="BF121" s="68">
        <f>IF(BA121=5,H119,0)</f>
        <v>0</v>
      </c>
      <c r="DA121" s="68">
        <v>0</v>
      </c>
    </row>
    <row r="122" spans="1:105">
      <c r="A122" s="313" t="s">
        <v>56</v>
      </c>
      <c r="B122" s="314" t="s">
        <v>152</v>
      </c>
      <c r="C122" s="314"/>
      <c r="D122" s="315" t="s">
        <v>129</v>
      </c>
      <c r="E122" s="212"/>
      <c r="F122" s="316"/>
      <c r="G122" s="316"/>
      <c r="H122" s="317"/>
      <c r="P122" s="80"/>
      <c r="BB122" s="81"/>
      <c r="BC122" s="81"/>
      <c r="BD122" s="81">
        <f>SUM(BD117:BD121)</f>
        <v>0</v>
      </c>
      <c r="BE122" s="81">
        <f>SUM(BE117:BE121)</f>
        <v>0</v>
      </c>
      <c r="BF122" s="81">
        <f>SUM(BF117:BF121)</f>
        <v>0</v>
      </c>
    </row>
    <row r="123" spans="1:105">
      <c r="A123" s="194">
        <f>A119+1</f>
        <v>69</v>
      </c>
      <c r="B123" s="195" t="s">
        <v>80</v>
      </c>
      <c r="C123" s="195"/>
      <c r="D123" s="196" t="s">
        <v>650</v>
      </c>
      <c r="E123" s="197" t="s">
        <v>63</v>
      </c>
      <c r="F123" s="199">
        <v>0</v>
      </c>
      <c r="G123" s="199">
        <v>172000</v>
      </c>
      <c r="H123" s="203">
        <f t="shared" ref="H123:H132" si="10">G123*F123</f>
        <v>0</v>
      </c>
      <c r="P123" s="80"/>
      <c r="BB123" s="81"/>
      <c r="BC123" s="81"/>
      <c r="BD123" s="81"/>
      <c r="BE123" s="81"/>
      <c r="BF123" s="81"/>
    </row>
    <row r="124" spans="1:105">
      <c r="A124" s="194">
        <v>70</v>
      </c>
      <c r="B124" s="195" t="s">
        <v>80</v>
      </c>
      <c r="C124" s="195"/>
      <c r="D124" s="196" t="s">
        <v>301</v>
      </c>
      <c r="E124" s="197" t="s">
        <v>60</v>
      </c>
      <c r="F124" s="199">
        <v>0</v>
      </c>
      <c r="G124" s="199">
        <v>1050</v>
      </c>
      <c r="H124" s="203">
        <f>G124*F124</f>
        <v>0</v>
      </c>
      <c r="I124" s="79"/>
      <c r="J124" s="79"/>
      <c r="P124" s="80"/>
    </row>
    <row r="125" spans="1:105">
      <c r="A125" s="194">
        <v>71</v>
      </c>
      <c r="B125" s="195" t="s">
        <v>80</v>
      </c>
      <c r="C125" s="195"/>
      <c r="D125" s="196" t="s">
        <v>302</v>
      </c>
      <c r="E125" s="197" t="s">
        <v>60</v>
      </c>
      <c r="F125" s="199">
        <v>0</v>
      </c>
      <c r="G125" s="199">
        <v>1050</v>
      </c>
      <c r="H125" s="203">
        <f t="shared" si="10"/>
        <v>0</v>
      </c>
      <c r="P125" s="80"/>
    </row>
    <row r="126" spans="1:105">
      <c r="A126" s="194">
        <v>72</v>
      </c>
      <c r="B126" s="195" t="s">
        <v>80</v>
      </c>
      <c r="C126" s="195"/>
      <c r="D126" s="196" t="s">
        <v>303</v>
      </c>
      <c r="E126" s="197" t="s">
        <v>63</v>
      </c>
      <c r="F126" s="199">
        <v>0</v>
      </c>
      <c r="G126" s="199">
        <v>70000</v>
      </c>
      <c r="H126" s="203">
        <f t="shared" si="10"/>
        <v>0</v>
      </c>
      <c r="P126" s="80"/>
    </row>
    <row r="127" spans="1:105">
      <c r="A127" s="194">
        <v>73</v>
      </c>
      <c r="B127" s="195" t="s">
        <v>80</v>
      </c>
      <c r="C127" s="195"/>
      <c r="D127" s="196" t="s">
        <v>304</v>
      </c>
      <c r="E127" s="197" t="s">
        <v>63</v>
      </c>
      <c r="F127" s="199">
        <v>0</v>
      </c>
      <c r="G127" s="199">
        <v>50000</v>
      </c>
      <c r="H127" s="203">
        <f t="shared" si="10"/>
        <v>0</v>
      </c>
      <c r="P127" s="80"/>
    </row>
    <row r="128" spans="1:105">
      <c r="A128" s="194">
        <v>74</v>
      </c>
      <c r="B128" s="195" t="s">
        <v>80</v>
      </c>
      <c r="C128" s="195"/>
      <c r="D128" s="196" t="s">
        <v>472</v>
      </c>
      <c r="E128" s="197" t="s">
        <v>63</v>
      </c>
      <c r="F128" s="199">
        <v>0</v>
      </c>
      <c r="G128" s="199">
        <v>16000</v>
      </c>
      <c r="H128" s="203">
        <f t="shared" si="10"/>
        <v>0</v>
      </c>
      <c r="P128" s="80"/>
    </row>
    <row r="129" spans="1:105">
      <c r="A129" s="194">
        <v>75</v>
      </c>
      <c r="B129" s="195" t="s">
        <v>80</v>
      </c>
      <c r="C129" s="195"/>
      <c r="D129" s="196" t="s">
        <v>473</v>
      </c>
      <c r="E129" s="197" t="s">
        <v>63</v>
      </c>
      <c r="F129" s="199">
        <v>0</v>
      </c>
      <c r="G129" s="199">
        <v>29100</v>
      </c>
      <c r="H129" s="203">
        <f t="shared" si="10"/>
        <v>0</v>
      </c>
      <c r="P129" s="80"/>
    </row>
    <row r="130" spans="1:105">
      <c r="A130" s="194">
        <v>76</v>
      </c>
      <c r="B130" s="195" t="s">
        <v>80</v>
      </c>
      <c r="C130" s="195"/>
      <c r="D130" s="697" t="s">
        <v>417</v>
      </c>
      <c r="E130" s="698" t="s">
        <v>63</v>
      </c>
      <c r="F130" s="699">
        <v>1</v>
      </c>
      <c r="G130" s="699">
        <v>50000</v>
      </c>
      <c r="H130" s="700">
        <f>G130*F130</f>
        <v>50000</v>
      </c>
      <c r="P130" s="80"/>
    </row>
    <row r="131" spans="1:105">
      <c r="A131" s="194">
        <v>77</v>
      </c>
      <c r="B131" s="195" t="s">
        <v>80</v>
      </c>
      <c r="C131" s="195"/>
      <c r="D131" s="697" t="s">
        <v>418</v>
      </c>
      <c r="E131" s="698" t="s">
        <v>63</v>
      </c>
      <c r="F131" s="699">
        <v>1</v>
      </c>
      <c r="G131" s="699">
        <v>20000</v>
      </c>
      <c r="H131" s="700">
        <f t="shared" si="10"/>
        <v>20000</v>
      </c>
      <c r="P131" s="80"/>
    </row>
    <row r="132" spans="1:105">
      <c r="A132" s="194">
        <v>78</v>
      </c>
      <c r="B132" s="195" t="s">
        <v>80</v>
      </c>
      <c r="C132" s="195"/>
      <c r="D132" s="196" t="s">
        <v>305</v>
      </c>
      <c r="E132" s="197" t="s">
        <v>63</v>
      </c>
      <c r="F132" s="199">
        <f>'Výkaz výměr'!N146</f>
        <v>0</v>
      </c>
      <c r="G132" s="199">
        <v>44900</v>
      </c>
      <c r="H132" s="203">
        <f t="shared" si="10"/>
        <v>0</v>
      </c>
      <c r="P132" s="80"/>
    </row>
    <row r="133" spans="1:105">
      <c r="A133" s="212"/>
      <c r="B133" s="213" t="s">
        <v>57</v>
      </c>
      <c r="C133" s="213"/>
      <c r="D133" s="214" t="str">
        <f>CONCATENATE(B122," ",D122)</f>
        <v>M Vytápění</v>
      </c>
      <c r="E133" s="212"/>
      <c r="F133" s="215"/>
      <c r="G133" s="215"/>
      <c r="H133" s="216">
        <f>H123+H124+H125+H126+H127+H128+H129+H130+H131+H132</f>
        <v>70000</v>
      </c>
      <c r="P133" s="80"/>
    </row>
    <row r="134" spans="1:105">
      <c r="A134" s="163"/>
      <c r="B134" s="180"/>
      <c r="C134" s="180"/>
      <c r="D134" s="179"/>
      <c r="E134" s="163"/>
      <c r="F134" s="178"/>
      <c r="G134" s="178"/>
      <c r="H134" s="168"/>
      <c r="P134" s="80"/>
    </row>
    <row r="135" spans="1:105">
      <c r="A135" s="313" t="s">
        <v>56</v>
      </c>
      <c r="B135" s="314" t="s">
        <v>17</v>
      </c>
      <c r="C135" s="314"/>
      <c r="D135" s="315" t="s">
        <v>131</v>
      </c>
      <c r="E135" s="212"/>
      <c r="F135" s="316"/>
      <c r="G135" s="316"/>
      <c r="H135" s="317"/>
      <c r="P135" s="80"/>
      <c r="BB135" s="81"/>
      <c r="BC135" s="81"/>
      <c r="BD135" s="81">
        <f>SUM(BD124:BD124)</f>
        <v>0</v>
      </c>
      <c r="BE135" s="81">
        <f>SUM(BE124:BE124)</f>
        <v>0</v>
      </c>
      <c r="BF135" s="81">
        <f>SUM(BF124:BF124)</f>
        <v>0</v>
      </c>
    </row>
    <row r="136" spans="1:105">
      <c r="A136" s="194">
        <v>79</v>
      </c>
      <c r="B136" s="195" t="s">
        <v>95</v>
      </c>
      <c r="C136" s="195"/>
      <c r="D136" s="196" t="s">
        <v>96</v>
      </c>
      <c r="E136" s="197" t="s">
        <v>60</v>
      </c>
      <c r="F136" s="199">
        <f>'Výkaz výměr'!K64</f>
        <v>3.2130000000000001</v>
      </c>
      <c r="G136" s="199">
        <v>300</v>
      </c>
      <c r="H136" s="203">
        <f t="shared" ref="H136:H143" si="11">F136*G136</f>
        <v>963.9</v>
      </c>
      <c r="P136" s="80"/>
      <c r="BB136" s="81"/>
      <c r="BC136" s="81"/>
      <c r="BD136" s="81"/>
      <c r="BE136" s="81"/>
      <c r="BF136" s="81"/>
    </row>
    <row r="137" spans="1:105">
      <c r="A137" s="194">
        <f t="shared" ref="A137:A144" si="12">A136+1</f>
        <v>80</v>
      </c>
      <c r="B137" s="195" t="s">
        <v>80</v>
      </c>
      <c r="C137" s="195"/>
      <c r="D137" s="196" t="s">
        <v>104</v>
      </c>
      <c r="E137" s="197" t="s">
        <v>60</v>
      </c>
      <c r="F137" s="199">
        <f>'Výkaz výměr'!K73</f>
        <v>28.56</v>
      </c>
      <c r="G137" s="199">
        <v>300</v>
      </c>
      <c r="H137" s="203">
        <f>F137*G137</f>
        <v>8568</v>
      </c>
      <c r="I137" s="79"/>
      <c r="J137" s="79"/>
      <c r="P137" s="80"/>
    </row>
    <row r="138" spans="1:105">
      <c r="A138" s="194">
        <f t="shared" si="12"/>
        <v>81</v>
      </c>
      <c r="B138" s="195" t="s">
        <v>80</v>
      </c>
      <c r="C138" s="195"/>
      <c r="D138" s="196" t="s">
        <v>155</v>
      </c>
      <c r="E138" s="197" t="s">
        <v>60</v>
      </c>
      <c r="F138" s="199">
        <f>'Výkaz výměr'!N136</f>
        <v>65</v>
      </c>
      <c r="G138" s="199">
        <v>600</v>
      </c>
      <c r="H138" s="203">
        <f>F138*G138</f>
        <v>39000</v>
      </c>
      <c r="P138" s="80"/>
      <c r="BD138" s="68">
        <f>IF(BA138=3,H136,0)</f>
        <v>0</v>
      </c>
      <c r="BE138" s="68">
        <f>IF(BA138=4,H136,0)</f>
        <v>0</v>
      </c>
      <c r="BF138" s="68">
        <f>IF(BA138=5,H136,0)</f>
        <v>0</v>
      </c>
      <c r="DA138" s="68">
        <v>0</v>
      </c>
    </row>
    <row r="139" spans="1:105">
      <c r="A139" s="194">
        <f t="shared" si="12"/>
        <v>82</v>
      </c>
      <c r="B139" s="195"/>
      <c r="C139" s="195"/>
      <c r="D139" s="196"/>
      <c r="E139" s="197"/>
      <c r="F139" s="199"/>
      <c r="G139" s="199"/>
      <c r="H139" s="203"/>
      <c r="P139" s="80"/>
    </row>
    <row r="140" spans="1:105">
      <c r="A140" s="194">
        <f t="shared" si="12"/>
        <v>83</v>
      </c>
      <c r="B140" s="195" t="s">
        <v>95</v>
      </c>
      <c r="C140" s="195"/>
      <c r="D140" s="196" t="s">
        <v>97</v>
      </c>
      <c r="E140" s="197" t="s">
        <v>60</v>
      </c>
      <c r="F140" s="199">
        <f>'Výkaz výměr'!K66</f>
        <v>0</v>
      </c>
      <c r="G140" s="199">
        <v>300</v>
      </c>
      <c r="H140" s="203">
        <f t="shared" si="11"/>
        <v>0</v>
      </c>
      <c r="P140" s="80"/>
    </row>
    <row r="141" spans="1:105">
      <c r="A141" s="194">
        <f t="shared" si="12"/>
        <v>84</v>
      </c>
      <c r="B141" s="195" t="s">
        <v>80</v>
      </c>
      <c r="C141" s="195"/>
      <c r="D141" s="196" t="s">
        <v>105</v>
      </c>
      <c r="E141" s="197" t="s">
        <v>60</v>
      </c>
      <c r="F141" s="199">
        <f>'Výkaz výměr'!K74</f>
        <v>0</v>
      </c>
      <c r="G141" s="199">
        <v>300</v>
      </c>
      <c r="H141" s="203">
        <f t="shared" si="11"/>
        <v>0</v>
      </c>
      <c r="P141" s="80"/>
    </row>
    <row r="142" spans="1:105">
      <c r="A142" s="194">
        <f t="shared" si="12"/>
        <v>85</v>
      </c>
      <c r="B142" s="195" t="s">
        <v>80</v>
      </c>
      <c r="C142" s="195"/>
      <c r="D142" s="196" t="s">
        <v>156</v>
      </c>
      <c r="E142" s="197" t="s">
        <v>60</v>
      </c>
      <c r="F142" s="199">
        <f>F143</f>
        <v>0</v>
      </c>
      <c r="G142" s="199">
        <v>30</v>
      </c>
      <c r="H142" s="203">
        <f t="shared" si="11"/>
        <v>0</v>
      </c>
      <c r="P142" s="80"/>
      <c r="BD142" s="68">
        <f>IF(BA142=3,H140,0)</f>
        <v>0</v>
      </c>
      <c r="BE142" s="68">
        <f>IF(BA142=4,H140,0)</f>
        <v>0</v>
      </c>
      <c r="BF142" s="68">
        <f>IF(BA142=5,H140,0)</f>
        <v>0</v>
      </c>
      <c r="DA142" s="68">
        <v>0</v>
      </c>
    </row>
    <row r="143" spans="1:105">
      <c r="A143" s="194">
        <f t="shared" si="12"/>
        <v>86</v>
      </c>
      <c r="B143" s="195" t="s">
        <v>80</v>
      </c>
      <c r="C143" s="195"/>
      <c r="D143" s="196" t="s">
        <v>649</v>
      </c>
      <c r="E143" s="197" t="s">
        <v>60</v>
      </c>
      <c r="F143" s="199">
        <f>'Výkaz výměr'!N137</f>
        <v>0</v>
      </c>
      <c r="G143" s="199">
        <v>440</v>
      </c>
      <c r="H143" s="203">
        <f t="shared" si="11"/>
        <v>0</v>
      </c>
      <c r="P143" s="80"/>
      <c r="BD143" s="68">
        <f>IF(BA143=3,H141,0)</f>
        <v>0</v>
      </c>
      <c r="BE143" s="68">
        <f>IF(BA143=4,H141,0)</f>
        <v>0</v>
      </c>
      <c r="BF143" s="68">
        <f>IF(BA143=5,H141,0)</f>
        <v>0</v>
      </c>
      <c r="DA143" s="68">
        <v>0</v>
      </c>
    </row>
    <row r="144" spans="1:105">
      <c r="A144" s="194">
        <f t="shared" si="12"/>
        <v>87</v>
      </c>
      <c r="B144" s="195" t="s">
        <v>80</v>
      </c>
      <c r="C144" s="195"/>
      <c r="D144" s="196" t="s">
        <v>482</v>
      </c>
      <c r="E144" s="197" t="s">
        <v>60</v>
      </c>
      <c r="F144" s="199">
        <f>F143+F138*60</f>
        <v>3900</v>
      </c>
      <c r="G144" s="199">
        <v>1</v>
      </c>
      <c r="H144" s="203">
        <f>G144*F144</f>
        <v>3900</v>
      </c>
      <c r="P144" s="80"/>
      <c r="BD144" s="68">
        <f>IF(BA144=3,H142,0)</f>
        <v>0</v>
      </c>
      <c r="BE144" s="68">
        <f>IF(BA144=4,H142,0)</f>
        <v>0</v>
      </c>
      <c r="BF144" s="68">
        <f>IF(BA144=5,H142,0)</f>
        <v>0</v>
      </c>
      <c r="DA144" s="68">
        <v>0</v>
      </c>
    </row>
    <row r="145" spans="1:105">
      <c r="A145" s="212"/>
      <c r="B145" s="213" t="s">
        <v>57</v>
      </c>
      <c r="C145" s="213"/>
      <c r="D145" s="214" t="str">
        <f>CONCATENATE(B135," ",D135)</f>
        <v>N Podlahy a obklady</v>
      </c>
      <c r="E145" s="212"/>
      <c r="F145" s="215"/>
      <c r="G145" s="215"/>
      <c r="H145" s="216">
        <f>SUM(H136:H144)</f>
        <v>52431.9</v>
      </c>
      <c r="P145" s="80"/>
    </row>
    <row r="146" spans="1:105">
      <c r="A146" s="163"/>
      <c r="B146" s="180"/>
      <c r="C146" s="180"/>
      <c r="D146" s="179"/>
      <c r="E146" s="163"/>
      <c r="F146" s="178"/>
      <c r="G146" s="178"/>
      <c r="H146" s="168"/>
      <c r="P146" s="80"/>
      <c r="BD146" s="68">
        <f>IF(BA146=3,H144,0)</f>
        <v>0</v>
      </c>
      <c r="BE146" s="68">
        <f>IF(BA146=4,H144,0)</f>
        <v>0</v>
      </c>
      <c r="BF146" s="68">
        <f>IF(BA146=5,H144,0)</f>
        <v>0</v>
      </c>
      <c r="DA146" s="68">
        <v>0</v>
      </c>
    </row>
    <row r="147" spans="1:105">
      <c r="A147" s="313" t="s">
        <v>56</v>
      </c>
      <c r="B147" s="314" t="s">
        <v>135</v>
      </c>
      <c r="C147" s="314"/>
      <c r="D147" s="315" t="s">
        <v>133</v>
      </c>
      <c r="E147" s="212"/>
      <c r="F147" s="316"/>
      <c r="G147" s="316"/>
      <c r="H147" s="317"/>
      <c r="P147" s="80"/>
      <c r="BB147" s="81"/>
      <c r="BC147" s="81"/>
      <c r="BD147" s="81">
        <f>SUM(BD137:BD146)</f>
        <v>0</v>
      </c>
      <c r="BE147" s="81">
        <f>SUM(BE137:BE146)</f>
        <v>0</v>
      </c>
      <c r="BF147" s="81">
        <f>SUM(BF137:BF146)</f>
        <v>0</v>
      </c>
    </row>
    <row r="148" spans="1:105">
      <c r="A148" s="194">
        <f>A144+1</f>
        <v>88</v>
      </c>
      <c r="B148" s="195" t="s">
        <v>80</v>
      </c>
      <c r="C148" s="195"/>
      <c r="D148" s="196" t="s">
        <v>106</v>
      </c>
      <c r="E148" s="197" t="s">
        <v>63</v>
      </c>
      <c r="F148" s="199">
        <v>1</v>
      </c>
      <c r="G148" s="199">
        <v>65000</v>
      </c>
      <c r="H148" s="203">
        <f>G148*F148</f>
        <v>65000</v>
      </c>
      <c r="P148" s="80"/>
      <c r="BB148" s="81"/>
      <c r="BC148" s="81"/>
      <c r="BD148" s="81"/>
      <c r="BE148" s="81"/>
      <c r="BF148" s="81"/>
    </row>
    <row r="149" spans="1:105">
      <c r="A149" s="194">
        <f>A148+1</f>
        <v>89</v>
      </c>
      <c r="B149" s="195" t="s">
        <v>80</v>
      </c>
      <c r="C149" s="195"/>
      <c r="D149" s="196" t="s">
        <v>107</v>
      </c>
      <c r="E149" s="197" t="s">
        <v>63</v>
      </c>
      <c r="F149" s="199">
        <v>1</v>
      </c>
      <c r="G149" s="199">
        <v>35000</v>
      </c>
      <c r="H149" s="203">
        <f>F149*G149</f>
        <v>35000</v>
      </c>
      <c r="I149" s="79"/>
      <c r="J149" s="79"/>
      <c r="P149" s="80"/>
    </row>
    <row r="150" spans="1:105">
      <c r="A150" s="212"/>
      <c r="B150" s="213" t="s">
        <v>57</v>
      </c>
      <c r="C150" s="213"/>
      <c r="D150" s="214" t="str">
        <f>CONCATENATE(B147," ",D147)</f>
        <v>O Elektroinstalace</v>
      </c>
      <c r="E150" s="212"/>
      <c r="F150" s="215"/>
      <c r="G150" s="215"/>
      <c r="H150" s="216">
        <f>SUM(H148:H149)</f>
        <v>100000</v>
      </c>
      <c r="P150" s="80"/>
      <c r="BD150" s="68">
        <f>IF(BA150=3,H148,0)</f>
        <v>0</v>
      </c>
      <c r="BE150" s="68">
        <f>IF(BA150=4,H148,0)</f>
        <v>0</v>
      </c>
      <c r="BF150" s="68">
        <f>IF(BA150=5,H148,0)</f>
        <v>0</v>
      </c>
      <c r="DA150" s="68">
        <v>0</v>
      </c>
    </row>
    <row r="151" spans="1:105">
      <c r="A151" s="163"/>
      <c r="B151" s="180"/>
      <c r="C151" s="180"/>
      <c r="D151" s="179"/>
      <c r="E151" s="163"/>
      <c r="F151" s="178"/>
      <c r="G151" s="178"/>
      <c r="H151" s="168"/>
      <c r="P151" s="80"/>
      <c r="BD151" s="68">
        <f>IF(BA151=3,H149,0)</f>
        <v>0</v>
      </c>
      <c r="BE151" s="68">
        <f>IF(BA151=4,H149,0)</f>
        <v>0</v>
      </c>
      <c r="BF151" s="68">
        <f>IF(BA151=5,H149,0)</f>
        <v>0</v>
      </c>
      <c r="DA151" s="68">
        <v>0</v>
      </c>
    </row>
    <row r="152" spans="1:105">
      <c r="A152" s="313" t="s">
        <v>56</v>
      </c>
      <c r="B152" s="314" t="s">
        <v>137</v>
      </c>
      <c r="C152" s="314"/>
      <c r="D152" s="315" t="s">
        <v>134</v>
      </c>
      <c r="E152" s="212"/>
      <c r="F152" s="316"/>
      <c r="G152" s="316"/>
      <c r="H152" s="317"/>
      <c r="P152" s="80"/>
      <c r="BB152" s="81"/>
      <c r="BC152" s="81"/>
      <c r="BD152" s="81">
        <f>SUM(BD149:BD151)</f>
        <v>0</v>
      </c>
      <c r="BE152" s="81">
        <f>SUM(BE149:BE151)</f>
        <v>0</v>
      </c>
      <c r="BF152" s="81">
        <f>SUM(BF149:BF151)</f>
        <v>0</v>
      </c>
    </row>
    <row r="153" spans="1:105">
      <c r="A153" s="194">
        <f>A149+1</f>
        <v>90</v>
      </c>
      <c r="B153" s="195" t="s">
        <v>80</v>
      </c>
      <c r="C153" s="195"/>
      <c r="D153" s="196" t="s">
        <v>419</v>
      </c>
      <c r="E153" s="197" t="s">
        <v>65</v>
      </c>
      <c r="F153" s="199">
        <f>'Výkaz výměr'!J76</f>
        <v>8</v>
      </c>
      <c r="G153" s="199">
        <v>4500</v>
      </c>
      <c r="H153" s="775">
        <f t="shared" ref="H153:H158" si="13">F153*G153</f>
        <v>36000</v>
      </c>
      <c r="P153" s="80"/>
      <c r="BB153" s="81"/>
      <c r="BC153" s="81"/>
      <c r="BD153" s="81"/>
      <c r="BE153" s="81"/>
      <c r="BF153" s="81"/>
    </row>
    <row r="154" spans="1:105">
      <c r="A154" s="194">
        <v>91</v>
      </c>
      <c r="B154" s="195" t="s">
        <v>80</v>
      </c>
      <c r="C154" s="195"/>
      <c r="D154" s="196" t="s">
        <v>724</v>
      </c>
      <c r="E154" s="197" t="s">
        <v>65</v>
      </c>
      <c r="F154" s="199"/>
      <c r="G154" s="199">
        <v>8500</v>
      </c>
      <c r="H154" s="203">
        <f t="shared" si="13"/>
        <v>0</v>
      </c>
      <c r="P154" s="80"/>
      <c r="BB154" s="81"/>
      <c r="BC154" s="81"/>
      <c r="BD154" s="81"/>
      <c r="BE154" s="81"/>
      <c r="BF154" s="81"/>
    </row>
    <row r="155" spans="1:105">
      <c r="A155" s="194">
        <v>92</v>
      </c>
      <c r="B155" s="195" t="s">
        <v>80</v>
      </c>
      <c r="C155" s="195"/>
      <c r="D155" s="196" t="s">
        <v>442</v>
      </c>
      <c r="E155" s="197" t="s">
        <v>63</v>
      </c>
      <c r="F155" s="199">
        <f>'Výkaz výměr'!N145</f>
        <v>0</v>
      </c>
      <c r="G155" s="199">
        <v>55000</v>
      </c>
      <c r="H155" s="775">
        <f t="shared" si="13"/>
        <v>0</v>
      </c>
      <c r="I155" s="79"/>
      <c r="J155" s="79"/>
      <c r="P155" s="80"/>
    </row>
    <row r="156" spans="1:105">
      <c r="A156" s="194">
        <v>93</v>
      </c>
      <c r="B156" s="195" t="s">
        <v>80</v>
      </c>
      <c r="C156" s="195"/>
      <c r="D156" s="196" t="s">
        <v>307</v>
      </c>
      <c r="E156" s="197" t="s">
        <v>63</v>
      </c>
      <c r="F156" s="199">
        <f>'Výkaz výměr'!N156</f>
        <v>0</v>
      </c>
      <c r="G156" s="199">
        <v>4290</v>
      </c>
      <c r="H156" s="203">
        <f t="shared" si="13"/>
        <v>0</v>
      </c>
      <c r="P156" s="80"/>
      <c r="BD156" s="68">
        <f>IF(BA156=3,H153,0)</f>
        <v>0</v>
      </c>
      <c r="BE156" s="68">
        <f>IF(BA156=4,H153,0)</f>
        <v>0</v>
      </c>
      <c r="BF156" s="68">
        <f>IF(BA156=5,H153,0)</f>
        <v>0</v>
      </c>
      <c r="DA156" s="68">
        <v>0</v>
      </c>
    </row>
    <row r="157" spans="1:105">
      <c r="A157" s="194">
        <v>94</v>
      </c>
      <c r="B157" s="195" t="s">
        <v>80</v>
      </c>
      <c r="C157" s="195"/>
      <c r="D157" s="196" t="s">
        <v>169</v>
      </c>
      <c r="E157" s="197" t="s">
        <v>63</v>
      </c>
      <c r="F157" s="199">
        <f>'Výkaz výměr'!N142</f>
        <v>0</v>
      </c>
      <c r="G157" s="199">
        <v>30000</v>
      </c>
      <c r="H157" s="775">
        <f t="shared" si="13"/>
        <v>0</v>
      </c>
      <c r="P157" s="80"/>
      <c r="BD157" s="68">
        <f>IF(BA157=3,#REF!,0)</f>
        <v>0</v>
      </c>
      <c r="BE157" s="68">
        <f>IF(BA157=4,#REF!,0)</f>
        <v>0</v>
      </c>
      <c r="BF157" s="68">
        <f>IF(BA157=5,#REF!,0)</f>
        <v>0</v>
      </c>
      <c r="DA157" s="68">
        <v>0</v>
      </c>
    </row>
    <row r="158" spans="1:105">
      <c r="A158" s="194">
        <v>95</v>
      </c>
      <c r="B158" s="195" t="s">
        <v>352</v>
      </c>
      <c r="C158" s="195"/>
      <c r="D158" s="196" t="s">
        <v>353</v>
      </c>
      <c r="E158" s="197" t="s">
        <v>75</v>
      </c>
      <c r="F158" s="199">
        <f>'Výkaz výměr'!N150</f>
        <v>5523.3884159999998</v>
      </c>
      <c r="G158" s="199">
        <v>1</v>
      </c>
      <c r="H158" s="203">
        <f t="shared" si="13"/>
        <v>5523.3884159999998</v>
      </c>
      <c r="P158" s="80"/>
      <c r="BD158" s="68">
        <f>IF(BA158=3,H155,0)</f>
        <v>0</v>
      </c>
      <c r="BE158" s="68">
        <f>IF(BA158=4,H155,0)</f>
        <v>0</v>
      </c>
      <c r="BF158" s="68">
        <f>IF(BA158=5,H155,0)</f>
        <v>0</v>
      </c>
      <c r="DA158" s="68">
        <v>0</v>
      </c>
    </row>
    <row r="159" spans="1:105">
      <c r="A159" s="194">
        <v>96</v>
      </c>
      <c r="B159" s="195" t="s">
        <v>80</v>
      </c>
      <c r="C159" s="195"/>
      <c r="D159" s="196" t="s">
        <v>354</v>
      </c>
      <c r="E159" s="197" t="s">
        <v>75</v>
      </c>
      <c r="F159" s="199">
        <f>'Výkaz výměr'!N151</f>
        <v>7709.7296639999995</v>
      </c>
      <c r="G159" s="199">
        <v>1</v>
      </c>
      <c r="H159" s="203">
        <f>G159*F159</f>
        <v>7709.7296639999995</v>
      </c>
      <c r="P159" s="80"/>
      <c r="BD159" s="68">
        <f>IF(BA159=3,H156,0)</f>
        <v>0</v>
      </c>
      <c r="BE159" s="68">
        <f>IF(BA159=4,H156,0)</f>
        <v>0</v>
      </c>
      <c r="BF159" s="68">
        <f>IF(BA159=5,H156,0)</f>
        <v>0</v>
      </c>
      <c r="DA159" s="68">
        <v>0</v>
      </c>
    </row>
    <row r="160" spans="1:105">
      <c r="A160" s="194">
        <v>97</v>
      </c>
      <c r="B160" s="496" t="s">
        <v>80</v>
      </c>
      <c r="C160" s="496"/>
      <c r="D160" s="211" t="s">
        <v>587</v>
      </c>
      <c r="E160" s="497" t="s">
        <v>60</v>
      </c>
      <c r="F160" s="199"/>
      <c r="G160" s="199"/>
      <c r="H160" s="203"/>
      <c r="P160" s="80"/>
    </row>
    <row r="161" spans="1:58">
      <c r="A161" s="194"/>
      <c r="B161" s="496" t="s">
        <v>80</v>
      </c>
      <c r="C161" s="496"/>
      <c r="D161" s="211" t="s">
        <v>644</v>
      </c>
      <c r="E161" s="497" t="s">
        <v>60</v>
      </c>
      <c r="F161" s="199">
        <f>'Výkaz výměr'!N36</f>
        <v>50</v>
      </c>
      <c r="G161" s="199">
        <v>510</v>
      </c>
      <c r="H161" s="203">
        <f>F161*G161</f>
        <v>25500</v>
      </c>
      <c r="P161" s="80"/>
    </row>
    <row r="162" spans="1:58">
      <c r="A162" s="194"/>
      <c r="B162" s="496" t="s">
        <v>80</v>
      </c>
      <c r="C162" s="496"/>
      <c r="D162" s="211" t="s">
        <v>585</v>
      </c>
      <c r="E162" s="497" t="s">
        <v>60</v>
      </c>
      <c r="F162" s="199"/>
      <c r="G162" s="199"/>
      <c r="H162" s="203"/>
      <c r="P162" s="80"/>
    </row>
    <row r="163" spans="1:58">
      <c r="A163" s="194"/>
      <c r="B163" s="496" t="s">
        <v>80</v>
      </c>
      <c r="C163" s="496"/>
      <c r="D163" s="211" t="s">
        <v>586</v>
      </c>
      <c r="E163" s="497" t="s">
        <v>60</v>
      </c>
      <c r="F163" s="199"/>
      <c r="G163" s="199"/>
      <c r="H163" s="203"/>
      <c r="P163" s="80"/>
    </row>
    <row r="164" spans="1:58">
      <c r="A164" s="194"/>
      <c r="B164" s="496" t="s">
        <v>80</v>
      </c>
      <c r="C164" s="496"/>
      <c r="D164" s="211" t="s">
        <v>147</v>
      </c>
      <c r="E164" s="497" t="s">
        <v>60</v>
      </c>
      <c r="F164" s="199"/>
      <c r="G164" s="199"/>
      <c r="H164" s="203"/>
      <c r="P164" s="80"/>
    </row>
    <row r="165" spans="1:58">
      <c r="A165" s="194"/>
      <c r="B165" s="195"/>
      <c r="C165" s="195"/>
      <c r="D165" s="196"/>
      <c r="E165" s="197"/>
      <c r="F165" s="199"/>
      <c r="G165" s="199"/>
      <c r="H165" s="203"/>
      <c r="P165" s="80"/>
    </row>
    <row r="166" spans="1:58">
      <c r="A166" s="212"/>
      <c r="B166" s="213" t="s">
        <v>57</v>
      </c>
      <c r="C166" s="213"/>
      <c r="D166" s="214" t="str">
        <f>CONCATENATE(B152," ",D152)</f>
        <v>P Vnitřní dveře a schody</v>
      </c>
      <c r="E166" s="212"/>
      <c r="F166" s="215"/>
      <c r="G166" s="215"/>
      <c r="H166" s="216">
        <f>SUM(H153:H165)</f>
        <v>74733.11808</v>
      </c>
      <c r="P166" s="80"/>
    </row>
    <row r="167" spans="1:58">
      <c r="F167" s="68"/>
      <c r="P167" s="80"/>
    </row>
    <row r="168" spans="1:58">
      <c r="F168" s="68"/>
      <c r="H168" s="358">
        <f>+H25+H47+H60+H73+H92+H98+H103+H113+H120+H133+H145+H150+H166</f>
        <v>1616817.4136453597</v>
      </c>
      <c r="P168" s="80"/>
    </row>
    <row r="169" spans="1:58">
      <c r="F169" s="68"/>
      <c r="P169" s="80"/>
      <c r="BB169" s="81"/>
      <c r="BC169" s="81"/>
      <c r="BD169" s="81">
        <f>SUM(BD155:BD159)</f>
        <v>0</v>
      </c>
      <c r="BE169" s="81">
        <f>SUM(BE155:BE159)</f>
        <v>0</v>
      </c>
      <c r="BF169" s="81">
        <f>SUM(BF155:BF159)</f>
        <v>0</v>
      </c>
    </row>
    <row r="170" spans="1:58">
      <c r="F170" s="68"/>
    </row>
    <row r="171" spans="1:58">
      <c r="F171" s="68"/>
    </row>
    <row r="172" spans="1:58">
      <c r="F172" s="68"/>
    </row>
    <row r="173" spans="1:58">
      <c r="F173" s="68"/>
    </row>
    <row r="174" spans="1:58">
      <c r="F174" s="68"/>
    </row>
    <row r="175" spans="1:58">
      <c r="F175" s="68"/>
    </row>
    <row r="176" spans="1:58">
      <c r="F176" s="68"/>
    </row>
    <row r="177" spans="1:8">
      <c r="F177" s="68"/>
    </row>
    <row r="178" spans="1:8">
      <c r="F178" s="68"/>
    </row>
    <row r="179" spans="1:8">
      <c r="F179" s="68"/>
    </row>
    <row r="180" spans="1:8">
      <c r="F180" s="68"/>
    </row>
    <row r="181" spans="1:8">
      <c r="F181" s="68"/>
    </row>
    <row r="182" spans="1:8">
      <c r="F182" s="68"/>
    </row>
    <row r="183" spans="1:8">
      <c r="F183" s="68"/>
    </row>
    <row r="184" spans="1:8">
      <c r="F184" s="68"/>
    </row>
    <row r="185" spans="1:8">
      <c r="F185" s="68"/>
    </row>
    <row r="186" spans="1:8">
      <c r="F186" s="68"/>
    </row>
    <row r="187" spans="1:8">
      <c r="F187" s="68"/>
    </row>
    <row r="188" spans="1:8">
      <c r="F188" s="68"/>
    </row>
    <row r="189" spans="1:8">
      <c r="F189" s="68"/>
    </row>
    <row r="190" spans="1:8">
      <c r="A190" s="82"/>
      <c r="B190" s="82"/>
      <c r="C190" s="82"/>
      <c r="D190" s="82"/>
      <c r="E190" s="82"/>
      <c r="F190" s="82"/>
      <c r="G190" s="82"/>
      <c r="H190" s="82"/>
    </row>
    <row r="191" spans="1:8">
      <c r="A191" s="82"/>
      <c r="B191" s="82"/>
      <c r="C191" s="82"/>
      <c r="D191" s="82"/>
      <c r="E191" s="82"/>
      <c r="F191" s="82"/>
      <c r="G191" s="82"/>
      <c r="H191" s="82"/>
    </row>
    <row r="192" spans="1:8">
      <c r="A192" s="82"/>
      <c r="B192" s="82"/>
      <c r="C192" s="82"/>
      <c r="D192" s="82"/>
      <c r="E192" s="82"/>
      <c r="F192" s="82"/>
      <c r="G192" s="82"/>
      <c r="H192" s="82"/>
    </row>
    <row r="193" spans="1:8">
      <c r="A193" s="82"/>
      <c r="B193" s="82"/>
      <c r="C193" s="82"/>
      <c r="D193" s="82"/>
      <c r="E193" s="82"/>
      <c r="F193" s="82"/>
      <c r="G193" s="82"/>
      <c r="H193" s="82"/>
    </row>
    <row r="194" spans="1:8">
      <c r="F194" s="68"/>
    </row>
    <row r="195" spans="1:8">
      <c r="F195" s="68"/>
    </row>
    <row r="196" spans="1:8">
      <c r="F196" s="68"/>
    </row>
    <row r="197" spans="1:8">
      <c r="F197" s="68"/>
    </row>
    <row r="198" spans="1:8">
      <c r="F198" s="68"/>
    </row>
    <row r="199" spans="1:8">
      <c r="F199" s="68"/>
    </row>
    <row r="200" spans="1:8">
      <c r="F200" s="68"/>
    </row>
    <row r="201" spans="1:8">
      <c r="F201" s="68"/>
    </row>
    <row r="202" spans="1:8">
      <c r="F202" s="68"/>
    </row>
    <row r="203" spans="1:8">
      <c r="F203" s="68"/>
    </row>
    <row r="204" spans="1:8">
      <c r="F204" s="68"/>
    </row>
    <row r="205" spans="1:8">
      <c r="F205" s="68"/>
    </row>
    <row r="206" spans="1:8">
      <c r="F206" s="68"/>
    </row>
    <row r="207" spans="1:8">
      <c r="F207" s="68"/>
    </row>
    <row r="208" spans="1:8">
      <c r="F208" s="68"/>
    </row>
    <row r="209" spans="6:6">
      <c r="F209" s="68"/>
    </row>
    <row r="210" spans="6:6">
      <c r="F210" s="68"/>
    </row>
    <row r="211" spans="6:6">
      <c r="F211" s="68"/>
    </row>
    <row r="212" spans="6:6">
      <c r="F212" s="68"/>
    </row>
    <row r="213" spans="6:6">
      <c r="F213" s="68"/>
    </row>
    <row r="214" spans="6:6">
      <c r="F214" s="68"/>
    </row>
    <row r="215" spans="6:6">
      <c r="F215" s="68"/>
    </row>
    <row r="216" spans="6:6">
      <c r="F216" s="68"/>
    </row>
    <row r="217" spans="6:6">
      <c r="F217" s="68"/>
    </row>
    <row r="218" spans="6:6">
      <c r="F218" s="68"/>
    </row>
    <row r="219" spans="6:6">
      <c r="F219" s="68"/>
    </row>
    <row r="220" spans="6:6">
      <c r="F220" s="68"/>
    </row>
    <row r="221" spans="6:6">
      <c r="F221" s="68"/>
    </row>
    <row r="222" spans="6:6">
      <c r="F222" s="68"/>
    </row>
    <row r="223" spans="6:6">
      <c r="F223" s="68"/>
    </row>
    <row r="224" spans="6:6">
      <c r="F224" s="68"/>
    </row>
    <row r="225" spans="1:8">
      <c r="A225" s="83"/>
      <c r="B225" s="83"/>
      <c r="C225" s="83"/>
    </row>
    <row r="226" spans="1:8">
      <c r="A226" s="82"/>
      <c r="B226" s="82"/>
      <c r="C226" s="82"/>
      <c r="D226" s="84"/>
      <c r="E226" s="84"/>
      <c r="F226" s="85"/>
      <c r="G226" s="84"/>
      <c r="H226" s="86"/>
    </row>
    <row r="227" spans="1:8">
      <c r="A227" s="87"/>
      <c r="B227" s="87"/>
      <c r="C227" s="87"/>
      <c r="D227" s="82"/>
      <c r="E227" s="82"/>
      <c r="F227" s="88"/>
      <c r="G227" s="82"/>
      <c r="H227" s="82"/>
    </row>
    <row r="228" spans="1:8">
      <c r="A228" s="82"/>
      <c r="B228" s="82"/>
      <c r="C228" s="82"/>
      <c r="D228" s="82"/>
      <c r="E228" s="82"/>
      <c r="F228" s="88"/>
      <c r="G228" s="82"/>
      <c r="H228" s="82"/>
    </row>
    <row r="229" spans="1:8">
      <c r="A229" s="82"/>
      <c r="B229" s="82"/>
      <c r="C229" s="82"/>
      <c r="D229" s="82"/>
      <c r="E229" s="82"/>
      <c r="F229" s="88"/>
      <c r="G229" s="82"/>
      <c r="H229" s="82"/>
    </row>
    <row r="230" spans="1:8">
      <c r="A230" s="82"/>
      <c r="B230" s="82"/>
      <c r="C230" s="82"/>
      <c r="D230" s="82"/>
      <c r="E230" s="82"/>
      <c r="F230" s="88"/>
      <c r="G230" s="82"/>
      <c r="H230" s="82"/>
    </row>
    <row r="231" spans="1:8">
      <c r="A231" s="82"/>
      <c r="B231" s="82"/>
      <c r="C231" s="82"/>
      <c r="D231" s="82"/>
      <c r="E231" s="82"/>
      <c r="F231" s="88"/>
      <c r="G231" s="82"/>
      <c r="H231" s="82"/>
    </row>
    <row r="232" spans="1:8">
      <c r="A232" s="82"/>
      <c r="B232" s="82"/>
      <c r="C232" s="82"/>
      <c r="D232" s="82"/>
      <c r="E232" s="82"/>
      <c r="F232" s="88"/>
      <c r="G232" s="82"/>
      <c r="H232" s="82"/>
    </row>
    <row r="233" spans="1:8">
      <c r="A233" s="82"/>
      <c r="B233" s="82"/>
      <c r="C233" s="82"/>
      <c r="D233" s="82"/>
      <c r="E233" s="82"/>
      <c r="F233" s="88"/>
      <c r="G233" s="82"/>
      <c r="H233" s="82"/>
    </row>
    <row r="234" spans="1:8">
      <c r="A234" s="82"/>
      <c r="B234" s="82"/>
      <c r="C234" s="82"/>
      <c r="D234" s="82"/>
      <c r="E234" s="82"/>
      <c r="F234" s="88"/>
      <c r="G234" s="82"/>
      <c r="H234" s="82"/>
    </row>
    <row r="235" spans="1:8">
      <c r="A235" s="82"/>
      <c r="B235" s="82"/>
      <c r="C235" s="82"/>
      <c r="D235" s="82"/>
      <c r="E235" s="82"/>
      <c r="F235" s="88"/>
      <c r="G235" s="82"/>
      <c r="H235" s="82"/>
    </row>
    <row r="236" spans="1:8">
      <c r="A236" s="82"/>
      <c r="B236" s="82"/>
      <c r="C236" s="82"/>
      <c r="D236" s="82"/>
      <c r="E236" s="82"/>
      <c r="F236" s="88"/>
      <c r="G236" s="82"/>
      <c r="H236" s="82"/>
    </row>
    <row r="237" spans="1:8">
      <c r="A237" s="82"/>
      <c r="B237" s="82"/>
      <c r="C237" s="82"/>
      <c r="D237" s="82"/>
      <c r="E237" s="82"/>
      <c r="F237" s="88"/>
      <c r="G237" s="82"/>
      <c r="H237" s="82"/>
    </row>
    <row r="238" spans="1:8">
      <c r="A238" s="82"/>
      <c r="B238" s="82"/>
      <c r="C238" s="82"/>
      <c r="D238" s="82"/>
      <c r="E238" s="82"/>
      <c r="F238" s="88"/>
      <c r="G238" s="82"/>
      <c r="H238" s="82"/>
    </row>
    <row r="239" spans="1:8">
      <c r="A239" s="82"/>
      <c r="B239" s="82"/>
      <c r="C239" s="82"/>
      <c r="D239" s="82"/>
      <c r="E239" s="82"/>
      <c r="F239" s="88"/>
      <c r="G239" s="82"/>
      <c r="H239" s="82"/>
    </row>
  </sheetData>
  <mergeCells count="4">
    <mergeCell ref="A1:H1"/>
    <mergeCell ref="A3:B3"/>
    <mergeCell ref="A4:B4"/>
    <mergeCell ref="F4:H4"/>
  </mergeCells>
  <phoneticPr fontId="0" type="noConversion"/>
  <printOptions gridLinesSet="0"/>
  <pageMargins left="0.47" right="0.39370078740157483" top="0.19685039370078741" bottom="0.19685039370078741" header="0" footer="0.19685039370078741"/>
  <pageSetup paperSize="9" fitToHeight="3" orientation="portrait" horizontalDpi="1200" r:id="rId1"/>
  <headerFooter alignWithMargins="0">
    <oddFooter>Stránka &amp;P z &amp;N</oddFooter>
  </headerFooter>
  <rowBreaks count="1" manualBreakCount="1">
    <brk id="84" max="16383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theme="0"/>
  </sheetPr>
  <dimension ref="A1:S63"/>
  <sheetViews>
    <sheetView workbookViewId="0">
      <selection activeCell="K25" sqref="K25"/>
    </sheetView>
  </sheetViews>
  <sheetFormatPr defaultRowHeight="13.2"/>
  <sheetData>
    <row r="1" spans="1:19">
      <c r="A1" s="96" t="s">
        <v>453</v>
      </c>
      <c r="B1" s="96"/>
      <c r="C1" s="96"/>
      <c r="D1" s="96"/>
    </row>
    <row r="3" spans="1:19">
      <c r="B3" s="853">
        <v>1</v>
      </c>
      <c r="C3" s="853">
        <v>2</v>
      </c>
      <c r="D3" s="853">
        <v>3</v>
      </c>
      <c r="E3" s="853">
        <v>4</v>
      </c>
      <c r="F3" s="853">
        <v>5</v>
      </c>
      <c r="G3" s="853">
        <v>6</v>
      </c>
      <c r="H3" s="853">
        <v>7</v>
      </c>
      <c r="I3" s="853">
        <v>8</v>
      </c>
      <c r="J3" s="853">
        <v>9</v>
      </c>
      <c r="K3" s="853">
        <v>10</v>
      </c>
      <c r="L3" s="853">
        <v>11</v>
      </c>
      <c r="M3" s="853">
        <v>12</v>
      </c>
      <c r="N3" s="853">
        <v>13</v>
      </c>
      <c r="O3" s="853">
        <v>14</v>
      </c>
      <c r="P3" s="853">
        <v>15</v>
      </c>
      <c r="Q3" s="853">
        <v>16</v>
      </c>
      <c r="R3" s="853">
        <v>17</v>
      </c>
      <c r="S3" s="853">
        <v>18</v>
      </c>
    </row>
    <row r="4" spans="1:19">
      <c r="A4" t="s">
        <v>455</v>
      </c>
      <c r="B4" s="889">
        <v>1.2</v>
      </c>
      <c r="C4" s="889">
        <v>1.2</v>
      </c>
      <c r="D4" s="889">
        <v>0.6</v>
      </c>
      <c r="E4" s="889">
        <v>0.6</v>
      </c>
      <c r="F4" s="889">
        <v>1.8</v>
      </c>
      <c r="G4" s="889">
        <v>1.8</v>
      </c>
      <c r="H4" s="889">
        <v>0</v>
      </c>
      <c r="I4" s="889">
        <v>0</v>
      </c>
      <c r="J4" s="889">
        <v>0</v>
      </c>
      <c r="K4" s="889">
        <v>0</v>
      </c>
      <c r="L4" s="889">
        <v>0</v>
      </c>
      <c r="M4" s="889">
        <v>0</v>
      </c>
      <c r="N4" s="889">
        <v>0</v>
      </c>
      <c r="O4" s="889">
        <v>0</v>
      </c>
      <c r="P4" s="889">
        <v>0</v>
      </c>
      <c r="Q4" s="889">
        <v>0</v>
      </c>
      <c r="R4" s="889">
        <v>0</v>
      </c>
      <c r="S4" s="889">
        <v>0</v>
      </c>
    </row>
    <row r="5" spans="1:19">
      <c r="A5" t="s">
        <v>454</v>
      </c>
      <c r="B5" s="889">
        <v>1.5</v>
      </c>
      <c r="C5" s="889">
        <v>1.5</v>
      </c>
      <c r="D5" s="889">
        <v>0.9</v>
      </c>
      <c r="E5" s="889">
        <v>0.9</v>
      </c>
      <c r="F5" s="889">
        <v>2.1</v>
      </c>
      <c r="G5" s="889">
        <v>2.1</v>
      </c>
      <c r="H5" s="889">
        <v>0</v>
      </c>
      <c r="I5" s="889">
        <v>0</v>
      </c>
      <c r="J5" s="889">
        <v>0</v>
      </c>
      <c r="K5" s="889">
        <v>0</v>
      </c>
      <c r="L5" s="889">
        <v>0</v>
      </c>
      <c r="M5" s="889">
        <v>0</v>
      </c>
      <c r="N5" s="889">
        <v>0</v>
      </c>
      <c r="O5" s="889">
        <v>0</v>
      </c>
      <c r="P5" s="889">
        <v>0</v>
      </c>
      <c r="Q5" s="889">
        <v>0</v>
      </c>
      <c r="R5" s="889">
        <v>0</v>
      </c>
      <c r="S5" s="889">
        <v>0</v>
      </c>
    </row>
    <row r="6" spans="1:19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>
      <c r="A7" t="s">
        <v>456</v>
      </c>
      <c r="B7" s="101">
        <f t="shared" ref="B7:S7" si="0">B4*B5</f>
        <v>1.7999999999999998</v>
      </c>
      <c r="C7" s="101">
        <f>C4*C5</f>
        <v>1.7999999999999998</v>
      </c>
      <c r="D7" s="101">
        <f>D4*D5</f>
        <v>0.54</v>
      </c>
      <c r="E7" s="101">
        <f>E4*E5</f>
        <v>0.54</v>
      </c>
      <c r="F7" s="101">
        <f t="shared" si="0"/>
        <v>3.7800000000000002</v>
      </c>
      <c r="G7" s="101">
        <f t="shared" si="0"/>
        <v>3.7800000000000002</v>
      </c>
      <c r="H7" s="101">
        <f t="shared" si="0"/>
        <v>0</v>
      </c>
      <c r="I7" s="101">
        <f>I4*I5</f>
        <v>0</v>
      </c>
      <c r="J7" s="101">
        <f t="shared" si="0"/>
        <v>0</v>
      </c>
      <c r="K7" s="101">
        <f t="shared" si="0"/>
        <v>0</v>
      </c>
      <c r="L7" s="101">
        <f t="shared" si="0"/>
        <v>0</v>
      </c>
      <c r="M7" s="101">
        <f t="shared" si="0"/>
        <v>0</v>
      </c>
      <c r="N7" s="101">
        <f t="shared" si="0"/>
        <v>0</v>
      </c>
      <c r="O7" s="101">
        <f t="shared" si="0"/>
        <v>0</v>
      </c>
      <c r="P7" s="101">
        <f t="shared" si="0"/>
        <v>0</v>
      </c>
      <c r="Q7" s="101">
        <f t="shared" si="0"/>
        <v>0</v>
      </c>
      <c r="R7" s="101">
        <f t="shared" si="0"/>
        <v>0</v>
      </c>
      <c r="S7" s="101">
        <f t="shared" si="0"/>
        <v>0</v>
      </c>
    </row>
    <row r="9" spans="1:19">
      <c r="A9" t="s">
        <v>457</v>
      </c>
      <c r="E9">
        <v>10.11</v>
      </c>
    </row>
    <row r="11" spans="1:19">
      <c r="A11" t="s">
        <v>458</v>
      </c>
      <c r="E11" s="102">
        <v>7.2</v>
      </c>
    </row>
    <row r="13" spans="1:19">
      <c r="A13" t="s">
        <v>479</v>
      </c>
      <c r="E13">
        <v>36.4</v>
      </c>
    </row>
    <row r="15" spans="1:19">
      <c r="A15" t="s">
        <v>480</v>
      </c>
      <c r="E15" s="101">
        <v>30</v>
      </c>
    </row>
    <row r="16" spans="1:19">
      <c r="J16">
        <v>0</v>
      </c>
    </row>
    <row r="17" spans="1:7">
      <c r="A17" t="s">
        <v>481</v>
      </c>
      <c r="E17">
        <f>E9-E15</f>
        <v>-19.89</v>
      </c>
    </row>
    <row r="20" spans="1:7">
      <c r="A20" t="s">
        <v>810</v>
      </c>
      <c r="B20" t="s">
        <v>316</v>
      </c>
      <c r="F20" t="s">
        <v>805</v>
      </c>
      <c r="G20" t="s">
        <v>624</v>
      </c>
    </row>
    <row r="21" spans="1:7">
      <c r="A21" t="s">
        <v>804</v>
      </c>
      <c r="B21" s="847">
        <v>0</v>
      </c>
      <c r="C21">
        <v>2718</v>
      </c>
      <c r="D21">
        <f>+B21*C21</f>
        <v>0</v>
      </c>
      <c r="E21">
        <v>600</v>
      </c>
      <c r="F21">
        <f>+B21*E21</f>
        <v>0</v>
      </c>
      <c r="G21">
        <f>+D21+F21</f>
        <v>0</v>
      </c>
    </row>
    <row r="22" spans="1:7">
      <c r="A22" t="s">
        <v>806</v>
      </c>
      <c r="B22" s="847">
        <v>2</v>
      </c>
      <c r="C22">
        <v>2648</v>
      </c>
      <c r="D22">
        <f>+B22*C22</f>
        <v>5296</v>
      </c>
      <c r="E22">
        <v>600</v>
      </c>
      <c r="F22">
        <f>+B22*E22</f>
        <v>1200</v>
      </c>
      <c r="G22">
        <f>+D22+F22</f>
        <v>6496</v>
      </c>
    </row>
    <row r="23" spans="1:7">
      <c r="A23" t="s">
        <v>807</v>
      </c>
      <c r="B23" s="847">
        <v>2</v>
      </c>
      <c r="C23">
        <v>3725</v>
      </c>
      <c r="D23">
        <f>+B23*C23</f>
        <v>7450</v>
      </c>
      <c r="E23">
        <v>600</v>
      </c>
      <c r="F23">
        <f>+B23*E23</f>
        <v>1200</v>
      </c>
      <c r="G23">
        <f>+D23+F23</f>
        <v>8650</v>
      </c>
    </row>
    <row r="24" spans="1:7">
      <c r="A24" t="s">
        <v>808</v>
      </c>
      <c r="B24" s="847">
        <v>0</v>
      </c>
      <c r="C24">
        <v>7914</v>
      </c>
      <c r="D24">
        <f>+B24*C24</f>
        <v>0</v>
      </c>
      <c r="E24">
        <v>1500</v>
      </c>
      <c r="F24">
        <f>+B24*E24</f>
        <v>0</v>
      </c>
      <c r="G24">
        <f>+D24+F24</f>
        <v>0</v>
      </c>
    </row>
    <row r="25" spans="1:7">
      <c r="A25" t="s">
        <v>809</v>
      </c>
      <c r="B25" s="847">
        <v>2</v>
      </c>
      <c r="C25">
        <v>14833</v>
      </c>
      <c r="D25">
        <f>+B25*C25</f>
        <v>29666</v>
      </c>
      <c r="E25">
        <v>1800</v>
      </c>
      <c r="F25">
        <f>+B25*E25</f>
        <v>3600</v>
      </c>
      <c r="G25">
        <f>+D25+F25</f>
        <v>33266</v>
      </c>
    </row>
    <row r="26" spans="1:7">
      <c r="A26" s="6"/>
      <c r="B26" s="6"/>
      <c r="C26" s="6"/>
      <c r="D26" s="6"/>
      <c r="F26">
        <f>SUM(F21:F25)</f>
        <v>6000</v>
      </c>
      <c r="G26">
        <f>SUM(G21:G25)</f>
        <v>48412</v>
      </c>
    </row>
    <row r="27" spans="1:7">
      <c r="A27" s="6"/>
      <c r="B27" s="6"/>
      <c r="C27" s="6"/>
      <c r="D27" s="6"/>
      <c r="E27" s="6"/>
    </row>
    <row r="28" spans="1:7" ht="14.4">
      <c r="A28" s="6"/>
      <c r="B28" s="6"/>
      <c r="C28" s="6"/>
      <c r="D28" s="777"/>
      <c r="E28" s="6"/>
    </row>
    <row r="29" spans="1:7">
      <c r="A29" t="s">
        <v>811</v>
      </c>
      <c r="B29" t="s">
        <v>316</v>
      </c>
      <c r="F29" t="s">
        <v>805</v>
      </c>
      <c r="G29" t="s">
        <v>624</v>
      </c>
    </row>
    <row r="30" spans="1:7">
      <c r="A30" t="s">
        <v>804</v>
      </c>
      <c r="B30" s="847">
        <v>0</v>
      </c>
      <c r="C30">
        <v>2718</v>
      </c>
      <c r="D30">
        <f>+B30*C30</f>
        <v>0</v>
      </c>
      <c r="E30">
        <v>600</v>
      </c>
      <c r="F30">
        <f>+B30*E30</f>
        <v>0</v>
      </c>
      <c r="G30">
        <f>+D30+F30</f>
        <v>0</v>
      </c>
    </row>
    <row r="31" spans="1:7">
      <c r="A31" t="s">
        <v>806</v>
      </c>
      <c r="B31" s="847">
        <v>0</v>
      </c>
      <c r="C31">
        <v>2648</v>
      </c>
      <c r="D31">
        <f>+B31*C31</f>
        <v>0</v>
      </c>
      <c r="E31">
        <v>600</v>
      </c>
      <c r="F31">
        <f>+B31*E31</f>
        <v>0</v>
      </c>
      <c r="G31">
        <f>+D31+F31</f>
        <v>0</v>
      </c>
    </row>
    <row r="32" spans="1:7">
      <c r="A32" t="s">
        <v>807</v>
      </c>
      <c r="B32" s="847">
        <v>0</v>
      </c>
      <c r="C32">
        <v>3725</v>
      </c>
      <c r="D32">
        <f>+B32*C32</f>
        <v>0</v>
      </c>
      <c r="E32">
        <v>600</v>
      </c>
      <c r="F32">
        <f>+B32*E32</f>
        <v>0</v>
      </c>
      <c r="G32">
        <f>+D32+F32</f>
        <v>0</v>
      </c>
    </row>
    <row r="33" spans="1:7">
      <c r="A33" t="s">
        <v>808</v>
      </c>
      <c r="B33" s="847">
        <v>0</v>
      </c>
      <c r="C33">
        <v>7914</v>
      </c>
      <c r="D33">
        <f>+B33*C33</f>
        <v>0</v>
      </c>
      <c r="E33">
        <v>1500</v>
      </c>
      <c r="F33">
        <f>+B33*E33</f>
        <v>0</v>
      </c>
      <c r="G33">
        <f>+D33+F33</f>
        <v>0</v>
      </c>
    </row>
    <row r="34" spans="1:7">
      <c r="A34" t="s">
        <v>809</v>
      </c>
      <c r="B34" s="847">
        <v>0</v>
      </c>
      <c r="C34">
        <v>14833</v>
      </c>
      <c r="D34">
        <f>+B34*C34</f>
        <v>0</v>
      </c>
      <c r="E34">
        <v>1800</v>
      </c>
      <c r="F34">
        <f>+B34*E34</f>
        <v>0</v>
      </c>
      <c r="G34">
        <f>+D34+F34</f>
        <v>0</v>
      </c>
    </row>
    <row r="35" spans="1:7">
      <c r="A35" s="6"/>
      <c r="B35" s="6"/>
      <c r="C35" s="6"/>
      <c r="D35" s="6"/>
      <c r="E35" s="6"/>
      <c r="F35">
        <f>SUM(F30:F34)</f>
        <v>0</v>
      </c>
      <c r="G35">
        <f>SUM(G30:G34)</f>
        <v>0</v>
      </c>
    </row>
    <row r="36" spans="1:7" ht="14.4">
      <c r="A36" s="6"/>
      <c r="B36" s="6"/>
      <c r="C36" s="6"/>
      <c r="D36" s="777"/>
      <c r="E36" s="6"/>
    </row>
    <row r="37" spans="1:7">
      <c r="A37" s="6"/>
      <c r="B37" s="6"/>
      <c r="C37" s="6"/>
      <c r="D37" s="6"/>
      <c r="E37" s="6"/>
    </row>
    <row r="38" spans="1:7" ht="14.4">
      <c r="A38" s="777"/>
      <c r="B38" s="6"/>
      <c r="C38" s="6"/>
      <c r="D38" s="6"/>
      <c r="E38" s="6"/>
    </row>
    <row r="39" spans="1:7">
      <c r="A39" s="6"/>
      <c r="B39" s="6"/>
      <c r="C39" s="6"/>
      <c r="D39" s="6"/>
      <c r="E39" s="6"/>
    </row>
    <row r="40" spans="1:7">
      <c r="A40" s="6"/>
      <c r="B40" s="6"/>
      <c r="C40" s="6"/>
      <c r="D40" s="6"/>
      <c r="E40" s="6"/>
    </row>
    <row r="41" spans="1:7">
      <c r="A41" s="6"/>
      <c r="B41" s="6"/>
      <c r="C41" s="6"/>
      <c r="D41" s="6"/>
      <c r="E41" s="6"/>
    </row>
    <row r="42" spans="1:7" ht="14.4">
      <c r="A42" s="6"/>
      <c r="B42" s="6"/>
      <c r="C42" s="6"/>
      <c r="D42" s="777"/>
      <c r="E42" s="6"/>
    </row>
    <row r="43" spans="1:7">
      <c r="A43" s="6"/>
      <c r="B43" s="6"/>
      <c r="C43" s="6"/>
      <c r="D43" s="6"/>
      <c r="E43" s="6"/>
    </row>
    <row r="44" spans="1:7" ht="14.4">
      <c r="A44" s="777"/>
      <c r="B44" s="6"/>
      <c r="C44" s="6"/>
      <c r="D44" s="6"/>
      <c r="E44" s="6"/>
    </row>
    <row r="45" spans="1:7">
      <c r="A45" s="6"/>
      <c r="B45" s="6"/>
      <c r="C45" s="6"/>
      <c r="D45" s="6"/>
      <c r="E45" s="6"/>
    </row>
    <row r="46" spans="1:7">
      <c r="A46" s="6"/>
      <c r="B46" s="6"/>
      <c r="C46" s="6"/>
      <c r="D46" s="6"/>
      <c r="E46" s="6"/>
    </row>
    <row r="47" spans="1:7">
      <c r="A47" s="6"/>
      <c r="B47" s="6"/>
      <c r="C47" s="6"/>
      <c r="D47" s="6"/>
      <c r="E47" s="6"/>
    </row>
    <row r="48" spans="1:7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 ht="14.4">
      <c r="A50" s="6"/>
      <c r="B50" s="6"/>
      <c r="C50" s="6"/>
      <c r="D50" s="777"/>
      <c r="E50" s="6"/>
    </row>
    <row r="51" spans="1:5">
      <c r="A51" s="6"/>
      <c r="B51" s="6"/>
      <c r="C51" s="6"/>
      <c r="D51" s="6"/>
      <c r="E51" s="6"/>
    </row>
    <row r="52" spans="1:5" ht="14.4">
      <c r="A52" s="777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 ht="14.4">
      <c r="A59" s="6"/>
      <c r="B59" s="6"/>
      <c r="C59" s="6"/>
      <c r="D59" s="777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</sheetData>
  <phoneticPr fontId="2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6"/>
  </sheetPr>
  <dimension ref="A1:T239"/>
  <sheetViews>
    <sheetView topLeftCell="A115" workbookViewId="0">
      <selection activeCell="P130" sqref="P130"/>
    </sheetView>
  </sheetViews>
  <sheetFormatPr defaultRowHeight="13.2"/>
  <cols>
    <col min="1" max="1" width="6.33203125" customWidth="1"/>
    <col min="3" max="3" width="17.44140625" customWidth="1"/>
    <col min="4" max="4" width="7" customWidth="1"/>
    <col min="5" max="5" width="4.6640625" customWidth="1"/>
    <col min="6" max="6" width="7.33203125" customWidth="1"/>
    <col min="7" max="7" width="9.6640625" customWidth="1"/>
    <col min="8" max="8" width="0.109375" customWidth="1"/>
    <col min="9" max="9" width="16.109375" customWidth="1"/>
    <col min="10" max="10" width="7.44140625" customWidth="1"/>
    <col min="11" max="11" width="8.33203125" customWidth="1"/>
    <col min="12" max="12" width="6.88671875" customWidth="1"/>
    <col min="13" max="13" width="21.44140625" customWidth="1"/>
    <col min="14" max="14" width="10.5546875" customWidth="1"/>
    <col min="15" max="15" width="4" customWidth="1"/>
    <col min="16" max="16" width="19" customWidth="1"/>
    <col min="17" max="17" width="7.5546875" customWidth="1"/>
    <col min="18" max="18" width="9.88671875" customWidth="1"/>
  </cols>
  <sheetData>
    <row r="1" spans="1:20" ht="17.399999999999999">
      <c r="A1" s="95" t="s">
        <v>175</v>
      </c>
    </row>
    <row r="3" spans="1:20">
      <c r="A3" s="96" t="s">
        <v>176</v>
      </c>
      <c r="B3" s="116"/>
      <c r="C3" s="116" t="str">
        <f>M13</f>
        <v>Petrák</v>
      </c>
      <c r="D3" s="116"/>
      <c r="E3" s="116"/>
    </row>
    <row r="4" spans="1:20">
      <c r="B4" s="116"/>
      <c r="C4" s="116"/>
      <c r="D4" s="116"/>
      <c r="E4" s="116"/>
    </row>
    <row r="5" spans="1:20">
      <c r="J5" t="s">
        <v>177</v>
      </c>
      <c r="K5" t="s">
        <v>298</v>
      </c>
    </row>
    <row r="6" spans="1:20" ht="13.8" thickBot="1"/>
    <row r="7" spans="1:20" ht="13.8" thickBot="1">
      <c r="A7" s="97" t="s">
        <v>178</v>
      </c>
      <c r="B7" s="98" t="s">
        <v>179</v>
      </c>
      <c r="C7" s="98" t="s">
        <v>180</v>
      </c>
      <c r="D7" s="98" t="s">
        <v>60</v>
      </c>
      <c r="E7" s="98" t="s">
        <v>181</v>
      </c>
      <c r="F7" s="98" t="s">
        <v>182</v>
      </c>
      <c r="G7" s="99" t="s">
        <v>183</v>
      </c>
    </row>
    <row r="8" spans="1:20">
      <c r="A8" t="s">
        <v>184</v>
      </c>
      <c r="B8" t="s">
        <v>118</v>
      </c>
      <c r="C8" s="101">
        <f>N26+R26</f>
        <v>311.0016</v>
      </c>
      <c r="D8" s="101">
        <f>C8*0.037</f>
        <v>11.507059199999999</v>
      </c>
      <c r="E8" s="100"/>
      <c r="F8" s="101"/>
      <c r="G8" s="101">
        <f>D8*15800</f>
        <v>181811.53535999998</v>
      </c>
      <c r="J8" s="101"/>
      <c r="K8" s="101"/>
    </row>
    <row r="9" spans="1:20">
      <c r="A9">
        <v>3</v>
      </c>
      <c r="B9" t="s">
        <v>185</v>
      </c>
      <c r="C9" s="100">
        <f>(F9*0.05)*0.03</f>
        <v>1.718496</v>
      </c>
      <c r="D9" s="101"/>
      <c r="E9" s="100"/>
      <c r="F9" s="101">
        <f>D31*4+D43*5</f>
        <v>1145.664</v>
      </c>
      <c r="G9" s="13"/>
      <c r="I9" s="111" t="s">
        <v>186</v>
      </c>
      <c r="J9" s="101">
        <f>N30</f>
        <v>0</v>
      </c>
      <c r="K9" s="101"/>
    </row>
    <row r="10" spans="1:20">
      <c r="A10">
        <v>4</v>
      </c>
      <c r="B10" t="s">
        <v>187</v>
      </c>
      <c r="C10" s="101">
        <f>K10*0.03</f>
        <v>2.6769600000000002</v>
      </c>
      <c r="D10" s="101"/>
      <c r="E10" s="100"/>
      <c r="F10" s="101"/>
      <c r="G10" s="13"/>
      <c r="I10" t="s">
        <v>188</v>
      </c>
      <c r="J10" s="101">
        <f>N54+R54</f>
        <v>81.12</v>
      </c>
      <c r="K10" s="101">
        <f>J10*1.1</f>
        <v>89.232000000000014</v>
      </c>
      <c r="T10" s="173"/>
    </row>
    <row r="11" spans="1:20" ht="13.8" thickBot="1">
      <c r="A11">
        <v>5</v>
      </c>
      <c r="B11" t="s">
        <v>189</v>
      </c>
      <c r="C11" s="101">
        <f>K11*0.025</f>
        <v>0</v>
      </c>
      <c r="D11" s="101"/>
      <c r="E11" s="100"/>
      <c r="F11" s="101"/>
      <c r="G11" s="13"/>
      <c r="I11" t="s">
        <v>190</v>
      </c>
      <c r="J11" s="101">
        <f>N71</f>
        <v>0</v>
      </c>
      <c r="K11" s="101">
        <f>J11*1.1</f>
        <v>0</v>
      </c>
    </row>
    <row r="12" spans="1:20" ht="13.8" thickBot="1">
      <c r="A12">
        <v>6</v>
      </c>
      <c r="B12" t="s">
        <v>191</v>
      </c>
      <c r="D12" s="101">
        <f>D31</f>
        <v>111.416</v>
      </c>
      <c r="E12" s="100"/>
      <c r="F12" s="101"/>
      <c r="G12" s="13"/>
      <c r="I12" t="s">
        <v>192</v>
      </c>
      <c r="J12" s="101">
        <f>J10</f>
        <v>81.12</v>
      </c>
      <c r="K12" s="101"/>
      <c r="M12" s="157" t="s">
        <v>435</v>
      </c>
      <c r="N12" s="121"/>
      <c r="O12" s="121"/>
      <c r="P12" s="158" t="s">
        <v>436</v>
      </c>
      <c r="Q12" s="159"/>
      <c r="R12" s="140"/>
    </row>
    <row r="13" spans="1:20">
      <c r="A13">
        <v>7</v>
      </c>
      <c r="B13" t="s">
        <v>193</v>
      </c>
      <c r="D13" s="101">
        <f>D43</f>
        <v>140</v>
      </c>
      <c r="E13" s="100"/>
      <c r="F13" s="101"/>
      <c r="G13" s="13"/>
      <c r="I13" t="s">
        <v>194</v>
      </c>
      <c r="J13" s="101">
        <f>J11</f>
        <v>0</v>
      </c>
      <c r="K13" s="101"/>
      <c r="M13" s="18" t="str">
        <f>Investor!C2</f>
        <v>Petrák</v>
      </c>
      <c r="N13" s="891">
        <v>44409</v>
      </c>
      <c r="O13" s="6"/>
      <c r="P13" s="6"/>
      <c r="Q13" s="6"/>
      <c r="R13" s="7"/>
    </row>
    <row r="14" spans="1:20">
      <c r="A14">
        <v>8</v>
      </c>
      <c r="B14" t="s">
        <v>195</v>
      </c>
      <c r="D14" s="101">
        <f>D13</f>
        <v>140</v>
      </c>
      <c r="E14" s="100"/>
      <c r="F14" s="101"/>
      <c r="G14" s="13"/>
      <c r="J14" s="101"/>
      <c r="K14" s="101"/>
      <c r="M14" s="18"/>
      <c r="N14" s="145"/>
      <c r="O14" s="6"/>
      <c r="P14" s="6"/>
      <c r="Q14" s="6"/>
      <c r="R14" s="7"/>
    </row>
    <row r="15" spans="1:20">
      <c r="A15">
        <v>9</v>
      </c>
      <c r="B15" t="s">
        <v>196</v>
      </c>
      <c r="D15" s="101">
        <f>J12</f>
        <v>81.12</v>
      </c>
      <c r="E15" s="100"/>
      <c r="F15" s="101"/>
      <c r="G15" s="13"/>
      <c r="J15" s="101"/>
      <c r="K15" s="101"/>
      <c r="M15" s="18" t="s">
        <v>525</v>
      </c>
      <c r="N15" s="145"/>
      <c r="O15" s="6"/>
      <c r="P15" s="6"/>
      <c r="Q15" s="6"/>
      <c r="R15" s="7"/>
    </row>
    <row r="16" spans="1:20">
      <c r="A16">
        <v>10</v>
      </c>
      <c r="B16" t="s">
        <v>197</v>
      </c>
      <c r="D16" s="101">
        <f>J13</f>
        <v>0</v>
      </c>
      <c r="E16" s="100"/>
      <c r="F16" s="101"/>
      <c r="G16" s="13"/>
      <c r="I16" t="s">
        <v>198</v>
      </c>
      <c r="J16" s="101">
        <f>N42+R42</f>
        <v>111.416</v>
      </c>
      <c r="K16" s="101">
        <f>J16*1.05</f>
        <v>116.9868</v>
      </c>
      <c r="M16" s="146"/>
      <c r="N16" s="145"/>
      <c r="O16" s="6"/>
      <c r="P16" s="6"/>
      <c r="Q16" s="6"/>
      <c r="R16" s="7"/>
    </row>
    <row r="17" spans="1:18">
      <c r="D17" s="101"/>
      <c r="E17" s="100"/>
      <c r="F17" s="101"/>
      <c r="G17" s="13"/>
      <c r="J17" s="101"/>
      <c r="K17" s="101"/>
      <c r="M17" s="18"/>
      <c r="N17" s="145"/>
      <c r="O17" s="6"/>
      <c r="P17" s="6"/>
      <c r="Q17" s="6"/>
      <c r="R17" s="7"/>
    </row>
    <row r="18" spans="1:18">
      <c r="A18">
        <v>11</v>
      </c>
      <c r="B18" t="s">
        <v>199</v>
      </c>
      <c r="D18" s="101"/>
      <c r="E18" s="100">
        <v>1</v>
      </c>
      <c r="F18" s="101"/>
      <c r="G18" s="13">
        <f>710*D8</f>
        <v>8170.0120319999987</v>
      </c>
      <c r="I18" t="s">
        <v>200</v>
      </c>
      <c r="J18" s="101">
        <f>N86</f>
        <v>140</v>
      </c>
      <c r="K18" s="101">
        <f>N87</f>
        <v>148.4</v>
      </c>
      <c r="M18" s="18"/>
      <c r="N18" s="145"/>
      <c r="O18" s="6"/>
      <c r="P18" s="6"/>
      <c r="Q18" s="6"/>
      <c r="R18" s="7"/>
    </row>
    <row r="19" spans="1:18" ht="13.8" thickBot="1">
      <c r="D19" s="101"/>
      <c r="E19" s="100"/>
      <c r="F19" s="101"/>
      <c r="G19" s="13"/>
      <c r="J19" s="101"/>
      <c r="K19" s="101"/>
      <c r="M19" s="18"/>
      <c r="N19" s="145"/>
      <c r="O19" s="6"/>
      <c r="P19" s="6"/>
      <c r="Q19" s="6"/>
      <c r="R19" s="7"/>
    </row>
    <row r="20" spans="1:18" ht="16.2" thickBot="1">
      <c r="D20" s="101"/>
      <c r="E20" s="100"/>
      <c r="F20" s="101"/>
      <c r="G20" s="13"/>
      <c r="I20" t="s">
        <v>201</v>
      </c>
      <c r="J20" s="101">
        <f>N37</f>
        <v>0</v>
      </c>
      <c r="K20" s="101">
        <f>J20*1.15</f>
        <v>0</v>
      </c>
      <c r="M20" s="117" t="s">
        <v>398</v>
      </c>
      <c r="N20" s="118"/>
      <c r="O20" s="119"/>
      <c r="P20" s="119"/>
      <c r="Q20" s="119"/>
      <c r="R20" s="120"/>
    </row>
    <row r="21" spans="1:18" ht="13.8" thickBot="1">
      <c r="D21" s="101"/>
      <c r="E21" s="100"/>
      <c r="F21" s="101"/>
      <c r="G21" s="13"/>
      <c r="I21" t="s">
        <v>309</v>
      </c>
      <c r="J21" s="101">
        <v>5</v>
      </c>
      <c r="K21" s="101"/>
      <c r="M21" s="18"/>
      <c r="N21" s="145"/>
      <c r="O21" s="6"/>
      <c r="P21" s="6"/>
      <c r="Q21" s="6"/>
      <c r="R21" s="7"/>
    </row>
    <row r="22" spans="1:18" ht="13.8" thickBot="1">
      <c r="D22" s="101"/>
      <c r="E22" s="100"/>
      <c r="F22" s="101"/>
      <c r="G22" s="13"/>
      <c r="I22" t="s">
        <v>310</v>
      </c>
      <c r="J22" s="101">
        <v>5</v>
      </c>
      <c r="K22" s="101"/>
      <c r="M22" s="383" t="s">
        <v>399</v>
      </c>
      <c r="N22" s="835">
        <v>4.2</v>
      </c>
      <c r="O22" s="384"/>
      <c r="P22" s="385" t="s">
        <v>399</v>
      </c>
      <c r="Q22" s="384"/>
      <c r="R22" s="845">
        <v>0</v>
      </c>
    </row>
    <row r="23" spans="1:18" ht="13.8" thickBot="1">
      <c r="D23" s="101"/>
      <c r="E23" s="100"/>
      <c r="F23" s="101"/>
      <c r="G23" s="13"/>
      <c r="I23" t="s">
        <v>311</v>
      </c>
      <c r="J23" s="101">
        <f>N34+N35+N34+N35</f>
        <v>102</v>
      </c>
      <c r="K23" s="101"/>
      <c r="M23" s="383" t="s">
        <v>400</v>
      </c>
      <c r="N23" s="835">
        <v>2.2999999999999998</v>
      </c>
      <c r="O23" s="384"/>
      <c r="P23" s="385" t="s">
        <v>400</v>
      </c>
      <c r="Q23" s="384"/>
      <c r="R23" s="845">
        <v>0</v>
      </c>
    </row>
    <row r="24" spans="1:18">
      <c r="D24" s="101"/>
      <c r="E24" s="100"/>
      <c r="F24" s="101"/>
      <c r="G24" s="13"/>
      <c r="I24" t="s">
        <v>312</v>
      </c>
      <c r="J24" s="101">
        <v>3</v>
      </c>
      <c r="K24" s="101"/>
      <c r="M24" s="18" t="s">
        <v>401</v>
      </c>
      <c r="N24" s="145">
        <f>(N22-N23)/2+N23</f>
        <v>3.25</v>
      </c>
      <c r="O24" s="6"/>
      <c r="P24" s="6" t="s">
        <v>401</v>
      </c>
      <c r="Q24" s="6"/>
      <c r="R24" s="148">
        <f>(R22-R23)/2+R23</f>
        <v>0</v>
      </c>
    </row>
    <row r="25" spans="1:18">
      <c r="D25" s="101"/>
      <c r="E25" s="100"/>
      <c r="F25" s="101"/>
      <c r="G25" s="13"/>
      <c r="I25" t="s">
        <v>313</v>
      </c>
      <c r="J25" s="101"/>
      <c r="K25" s="101"/>
      <c r="M25" s="18" t="s">
        <v>402</v>
      </c>
      <c r="N25" s="145">
        <f>N31*N32</f>
        <v>95.692799999999991</v>
      </c>
      <c r="O25" s="6"/>
      <c r="P25" s="6" t="s">
        <v>402</v>
      </c>
      <c r="Q25" s="6"/>
      <c r="R25" s="148">
        <f>R31*R32</f>
        <v>0</v>
      </c>
    </row>
    <row r="26" spans="1:18">
      <c r="D26" s="101"/>
      <c r="E26" s="100"/>
      <c r="F26" s="101"/>
      <c r="G26" s="13"/>
      <c r="J26" s="101"/>
      <c r="K26" s="101"/>
      <c r="M26" s="18" t="s">
        <v>403</v>
      </c>
      <c r="N26" s="145">
        <f>(N24*N25)+R26</f>
        <v>311.0016</v>
      </c>
      <c r="O26" s="6"/>
      <c r="P26" s="6" t="s">
        <v>403</v>
      </c>
      <c r="Q26" s="6"/>
      <c r="R26" s="836">
        <f>R24*R25</f>
        <v>0</v>
      </c>
    </row>
    <row r="27" spans="1:18" ht="13.8" thickBot="1">
      <c r="D27" s="101"/>
      <c r="E27" s="100"/>
      <c r="F27" s="101"/>
      <c r="G27" s="13"/>
      <c r="I27" t="s">
        <v>314</v>
      </c>
      <c r="J27" s="101"/>
      <c r="K27" s="101"/>
      <c r="M27" s="18"/>
      <c r="N27" s="145"/>
      <c r="O27" s="6"/>
      <c r="P27" s="6"/>
      <c r="Q27" s="6"/>
      <c r="R27" s="148"/>
    </row>
    <row r="28" spans="1:18" ht="16.2" thickBot="1">
      <c r="D28" s="101"/>
      <c r="E28" s="100"/>
      <c r="F28" s="101"/>
      <c r="G28" s="13"/>
      <c r="I28" t="s">
        <v>202</v>
      </c>
      <c r="J28" s="101">
        <f>J46+J58</f>
        <v>122.36</v>
      </c>
      <c r="K28" s="101">
        <f>J28*1.35</f>
        <v>165.18600000000001</v>
      </c>
      <c r="M28" s="122" t="s">
        <v>392</v>
      </c>
      <c r="N28" s="123"/>
      <c r="O28" s="124"/>
      <c r="P28" s="125" t="s">
        <v>392</v>
      </c>
      <c r="Q28" s="124"/>
      <c r="R28" s="126"/>
    </row>
    <row r="29" spans="1:18">
      <c r="D29" s="101"/>
      <c r="E29" s="100"/>
      <c r="F29" s="101"/>
      <c r="G29" s="13"/>
      <c r="I29" t="s">
        <v>203</v>
      </c>
      <c r="J29" s="101">
        <f>J16</f>
        <v>111.416</v>
      </c>
      <c r="K29" s="101">
        <f>J29*1.25</f>
        <v>139.26999999999998</v>
      </c>
      <c r="M29" s="18"/>
      <c r="N29" s="145"/>
      <c r="O29" s="6"/>
      <c r="P29" s="6"/>
      <c r="Q29" s="6"/>
      <c r="R29" s="148"/>
    </row>
    <row r="30" spans="1:18" ht="13.8" thickBot="1">
      <c r="D30" s="101"/>
      <c r="E30" s="100"/>
      <c r="F30" s="101"/>
      <c r="G30" s="13"/>
      <c r="I30" t="s">
        <v>204</v>
      </c>
      <c r="J30" s="101"/>
      <c r="K30" s="101"/>
      <c r="M30" s="149" t="s">
        <v>390</v>
      </c>
      <c r="N30" s="145">
        <v>0</v>
      </c>
      <c r="O30" s="6"/>
      <c r="P30" s="150" t="s">
        <v>390</v>
      </c>
      <c r="Q30" s="6"/>
      <c r="R30" s="148"/>
    </row>
    <row r="31" spans="1:18" ht="13.8" thickBot="1">
      <c r="A31" t="s">
        <v>205</v>
      </c>
      <c r="B31" t="s">
        <v>198</v>
      </c>
      <c r="D31" s="101">
        <f>J16+J20</f>
        <v>111.416</v>
      </c>
      <c r="E31" s="100"/>
      <c r="F31" s="101"/>
      <c r="G31" s="13"/>
      <c r="I31" t="s">
        <v>206</v>
      </c>
      <c r="J31" s="101">
        <f>N59</f>
        <v>107.36</v>
      </c>
      <c r="K31" s="101">
        <f>J31*1.08</f>
        <v>115.94880000000001</v>
      </c>
      <c r="M31" s="386" t="s">
        <v>365</v>
      </c>
      <c r="N31" s="835">
        <v>14.24</v>
      </c>
      <c r="O31" s="121"/>
      <c r="P31" s="387" t="s">
        <v>365</v>
      </c>
      <c r="Q31" s="121"/>
      <c r="R31" s="845">
        <v>0</v>
      </c>
    </row>
    <row r="32" spans="1:18" ht="13.8" thickBot="1">
      <c r="A32">
        <v>13</v>
      </c>
      <c r="B32" t="s">
        <v>207</v>
      </c>
      <c r="D32" s="101">
        <f>K29</f>
        <v>139.26999999999998</v>
      </c>
      <c r="E32" s="100"/>
      <c r="F32" s="101"/>
      <c r="G32" s="13"/>
      <c r="I32" t="s">
        <v>208</v>
      </c>
      <c r="J32" s="101">
        <f>N66+N67+N68</f>
        <v>0</v>
      </c>
      <c r="K32" s="101">
        <f>J32*1.08</f>
        <v>0</v>
      </c>
      <c r="M32" s="386" t="s">
        <v>366</v>
      </c>
      <c r="N32" s="835">
        <v>6.72</v>
      </c>
      <c r="O32" s="121"/>
      <c r="P32" s="387" t="s">
        <v>366</v>
      </c>
      <c r="Q32" s="121"/>
      <c r="R32" s="845">
        <v>0</v>
      </c>
    </row>
    <row r="33" spans="1:18" ht="13.8" thickBot="1">
      <c r="A33">
        <v>14</v>
      </c>
      <c r="B33" t="s">
        <v>209</v>
      </c>
      <c r="D33" s="101">
        <f>K28</f>
        <v>165.18600000000001</v>
      </c>
      <c r="E33" s="100"/>
      <c r="F33" s="101"/>
      <c r="G33" s="13"/>
      <c r="I33" t="s">
        <v>210</v>
      </c>
      <c r="J33" s="101">
        <f>J31</f>
        <v>107.36</v>
      </c>
      <c r="K33" s="101">
        <f>J33*1.08</f>
        <v>115.94880000000001</v>
      </c>
      <c r="M33" s="149" t="s">
        <v>360</v>
      </c>
      <c r="N33" s="160">
        <f>N23</f>
        <v>2.2999999999999998</v>
      </c>
      <c r="O33" s="6"/>
      <c r="P33" s="147" t="s">
        <v>360</v>
      </c>
      <c r="Q33" s="147"/>
      <c r="R33" s="261">
        <f>R23</f>
        <v>0</v>
      </c>
    </row>
    <row r="34" spans="1:18" ht="13.8" thickBot="1">
      <c r="A34">
        <v>15</v>
      </c>
      <c r="B34" t="s">
        <v>211</v>
      </c>
      <c r="D34" s="101"/>
      <c r="E34" s="100"/>
      <c r="F34" s="101">
        <f>J78</f>
        <v>21.4</v>
      </c>
      <c r="G34" s="13"/>
      <c r="I34" t="s">
        <v>212</v>
      </c>
      <c r="J34" s="101">
        <f>J32</f>
        <v>0</v>
      </c>
      <c r="K34" s="101">
        <f>J34*1.08</f>
        <v>0</v>
      </c>
      <c r="M34" s="386" t="s">
        <v>368</v>
      </c>
      <c r="N34" s="835">
        <v>50</v>
      </c>
      <c r="O34" s="121"/>
      <c r="P34" s="387" t="s">
        <v>368</v>
      </c>
      <c r="Q34" s="121"/>
      <c r="R34" s="845">
        <v>0</v>
      </c>
    </row>
    <row r="35" spans="1:18" ht="13.8" thickBot="1">
      <c r="A35">
        <v>16</v>
      </c>
      <c r="B35" t="s">
        <v>213</v>
      </c>
      <c r="D35" s="101"/>
      <c r="E35" s="100"/>
      <c r="F35" s="101">
        <f>J79</f>
        <v>15.1</v>
      </c>
      <c r="G35" s="13"/>
      <c r="I35" t="s">
        <v>214</v>
      </c>
      <c r="J35" s="101">
        <f>N54</f>
        <v>81.12</v>
      </c>
      <c r="K35" s="101">
        <f>J35*1.05</f>
        <v>85.176000000000002</v>
      </c>
      <c r="M35" s="386" t="s">
        <v>367</v>
      </c>
      <c r="N35" s="835">
        <v>1</v>
      </c>
      <c r="O35" s="121"/>
      <c r="P35" s="387" t="s">
        <v>367</v>
      </c>
      <c r="Q35" s="121"/>
      <c r="R35" s="388">
        <v>0</v>
      </c>
    </row>
    <row r="36" spans="1:18">
      <c r="A36">
        <v>17</v>
      </c>
      <c r="B36" t="s">
        <v>215</v>
      </c>
      <c r="D36" s="101"/>
      <c r="E36" s="100"/>
      <c r="F36" s="101">
        <f>J80</f>
        <v>12.6</v>
      </c>
      <c r="G36" s="13"/>
      <c r="J36" s="101"/>
      <c r="K36" s="101"/>
      <c r="M36" s="149" t="s">
        <v>427</v>
      </c>
      <c r="N36" s="145">
        <f>N34*N35+R36</f>
        <v>50</v>
      </c>
      <c r="O36" s="6"/>
      <c r="P36" s="150" t="s">
        <v>427</v>
      </c>
      <c r="Q36" s="150"/>
      <c r="R36" s="148">
        <f>R34*R35</f>
        <v>0</v>
      </c>
    </row>
    <row r="37" spans="1:18">
      <c r="A37">
        <v>18</v>
      </c>
      <c r="B37" t="s">
        <v>216</v>
      </c>
      <c r="D37" s="101"/>
      <c r="E37" s="100">
        <f>J81</f>
        <v>3</v>
      </c>
      <c r="F37" s="101"/>
      <c r="G37" s="13"/>
      <c r="I37" t="s">
        <v>217</v>
      </c>
      <c r="J37" s="101"/>
      <c r="K37" s="101"/>
      <c r="M37" s="149"/>
      <c r="N37" s="145"/>
      <c r="O37" s="6"/>
      <c r="P37" s="150"/>
      <c r="Q37" s="6"/>
      <c r="R37" s="148"/>
    </row>
    <row r="38" spans="1:18">
      <c r="D38" s="101"/>
      <c r="E38" s="100"/>
      <c r="F38" s="101"/>
      <c r="G38" s="13"/>
      <c r="J38" s="101"/>
      <c r="K38" s="101"/>
      <c r="M38" s="149"/>
      <c r="N38" s="145"/>
      <c r="O38" s="6"/>
      <c r="P38" s="150"/>
      <c r="Q38" s="6"/>
      <c r="R38" s="148"/>
    </row>
    <row r="39" spans="1:18" ht="13.8" thickBot="1">
      <c r="D39" s="101"/>
      <c r="E39" s="100"/>
      <c r="F39" s="101"/>
      <c r="G39" s="13"/>
      <c r="J39" s="101"/>
      <c r="K39" s="101"/>
      <c r="M39" s="149" t="s">
        <v>425</v>
      </c>
      <c r="N39" s="145">
        <f>(N31+N31+N32+N32)*N33</f>
        <v>96.415999999999997</v>
      </c>
      <c r="O39" s="6"/>
      <c r="P39" s="150" t="s">
        <v>425</v>
      </c>
      <c r="Q39" s="6"/>
      <c r="R39" s="148">
        <f>(R31+R32)*2*R33</f>
        <v>0</v>
      </c>
    </row>
    <row r="40" spans="1:18" ht="13.8" thickBot="1">
      <c r="D40" s="101"/>
      <c r="E40" s="100"/>
      <c r="F40" s="101"/>
      <c r="G40" s="13"/>
      <c r="J40" s="101"/>
      <c r="K40" s="101"/>
      <c r="M40" s="386" t="s">
        <v>426</v>
      </c>
      <c r="N40" s="835">
        <v>15</v>
      </c>
      <c r="O40" s="121"/>
      <c r="P40" s="387" t="s">
        <v>426</v>
      </c>
      <c r="Q40" s="121"/>
      <c r="R40" s="388">
        <v>0</v>
      </c>
    </row>
    <row r="41" spans="1:18">
      <c r="D41" s="101"/>
      <c r="E41" s="100"/>
      <c r="F41" s="101"/>
      <c r="G41" s="13"/>
      <c r="J41" s="101"/>
      <c r="K41" s="101"/>
      <c r="M41" s="149" t="s">
        <v>428</v>
      </c>
      <c r="N41" s="145">
        <f>N39+N40</f>
        <v>111.416</v>
      </c>
      <c r="O41" s="6"/>
      <c r="P41" s="150" t="s">
        <v>428</v>
      </c>
      <c r="Q41" s="6"/>
      <c r="R41" s="148">
        <f>R39+R40</f>
        <v>0</v>
      </c>
    </row>
    <row r="42" spans="1:18">
      <c r="D42" s="101"/>
      <c r="E42" s="100"/>
      <c r="F42" s="101"/>
      <c r="G42" s="13"/>
      <c r="J42" s="101"/>
      <c r="K42" s="101"/>
      <c r="M42" s="149" t="s">
        <v>423</v>
      </c>
      <c r="N42" s="145">
        <f>N41</f>
        <v>111.416</v>
      </c>
      <c r="O42" s="6"/>
      <c r="P42" s="150" t="s">
        <v>423</v>
      </c>
      <c r="Q42" s="6"/>
      <c r="R42" s="148">
        <f>R36+R41</f>
        <v>0</v>
      </c>
    </row>
    <row r="43" spans="1:18">
      <c r="A43">
        <v>19</v>
      </c>
      <c r="B43" t="s">
        <v>218</v>
      </c>
      <c r="D43" s="101">
        <f>N86</f>
        <v>140</v>
      </c>
      <c r="E43" s="100"/>
      <c r="F43" s="101"/>
      <c r="G43" s="13"/>
      <c r="I43" t="s">
        <v>219</v>
      </c>
      <c r="J43" s="101">
        <f>N100*N102</f>
        <v>16.5</v>
      </c>
      <c r="K43" s="101">
        <f>J43*1.15</f>
        <v>18.974999999999998</v>
      </c>
      <c r="M43" s="149" t="s">
        <v>369</v>
      </c>
      <c r="N43" s="145">
        <v>0.36</v>
      </c>
      <c r="O43" s="6"/>
      <c r="P43" s="150" t="s">
        <v>369</v>
      </c>
      <c r="Q43" s="6"/>
      <c r="R43" s="148">
        <v>0.32</v>
      </c>
    </row>
    <row r="44" spans="1:18">
      <c r="A44">
        <v>20</v>
      </c>
      <c r="B44" t="s">
        <v>296</v>
      </c>
      <c r="D44" s="101"/>
      <c r="E44" s="100">
        <f>N94</f>
        <v>0</v>
      </c>
      <c r="F44" s="101"/>
      <c r="G44" s="13"/>
      <c r="I44" t="s">
        <v>220</v>
      </c>
      <c r="J44" s="101">
        <f>N100*N105</f>
        <v>88</v>
      </c>
      <c r="K44" s="101">
        <f>J44*1.15</f>
        <v>101.19999999999999</v>
      </c>
      <c r="M44" s="18"/>
      <c r="N44" s="145"/>
      <c r="O44" s="6"/>
      <c r="P44" s="6"/>
      <c r="Q44" s="6"/>
      <c r="R44" s="148"/>
    </row>
    <row r="45" spans="1:18">
      <c r="A45">
        <v>21</v>
      </c>
      <c r="B45" t="s">
        <v>295</v>
      </c>
      <c r="D45" s="101">
        <v>0</v>
      </c>
      <c r="E45" s="100"/>
      <c r="F45" s="101"/>
      <c r="G45" s="13"/>
      <c r="I45" t="s">
        <v>221</v>
      </c>
      <c r="J45" s="101">
        <f>N54</f>
        <v>81.12</v>
      </c>
      <c r="K45" s="101">
        <f>J45*1.15</f>
        <v>93.287999999999997</v>
      </c>
      <c r="M45" s="146" t="s">
        <v>437</v>
      </c>
      <c r="N45" s="145">
        <v>0</v>
      </c>
      <c r="O45" s="6"/>
      <c r="P45" s="6"/>
      <c r="Q45" s="6"/>
      <c r="R45" s="148"/>
    </row>
    <row r="46" spans="1:18">
      <c r="A46">
        <v>22</v>
      </c>
      <c r="B46" t="s">
        <v>294</v>
      </c>
      <c r="D46" s="101"/>
      <c r="E46" s="100">
        <f>J98</f>
        <v>1</v>
      </c>
      <c r="F46" s="101"/>
      <c r="G46" s="13"/>
      <c r="I46" t="s">
        <v>222</v>
      </c>
      <c r="J46" s="101">
        <f>N59</f>
        <v>107.36</v>
      </c>
      <c r="K46" s="101">
        <f>J46*1.15</f>
        <v>123.46399999999998</v>
      </c>
      <c r="M46" s="18"/>
      <c r="N46" s="145"/>
      <c r="O46" s="6"/>
      <c r="P46" s="6"/>
      <c r="Q46" s="6"/>
      <c r="R46" s="148"/>
    </row>
    <row r="47" spans="1:18" ht="13.8" thickBot="1">
      <c r="A47">
        <v>25</v>
      </c>
      <c r="B47" t="s">
        <v>223</v>
      </c>
      <c r="D47" s="101">
        <v>0</v>
      </c>
      <c r="E47" s="100"/>
      <c r="F47" s="101"/>
      <c r="G47" s="13"/>
      <c r="I47" t="s">
        <v>224</v>
      </c>
      <c r="J47" s="101">
        <v>0</v>
      </c>
      <c r="K47" s="101">
        <f>J47*1.15</f>
        <v>0</v>
      </c>
      <c r="L47" t="s">
        <v>422</v>
      </c>
      <c r="M47" s="18"/>
      <c r="N47" s="145"/>
      <c r="O47" s="6"/>
      <c r="P47" s="6"/>
      <c r="Q47" s="6"/>
      <c r="R47" s="148"/>
    </row>
    <row r="48" spans="1:18" ht="16.2" thickBot="1">
      <c r="A48">
        <v>26</v>
      </c>
      <c r="B48" t="s">
        <v>297</v>
      </c>
      <c r="D48" s="101">
        <v>0</v>
      </c>
      <c r="E48" s="100"/>
      <c r="F48" s="101"/>
      <c r="G48" s="13"/>
      <c r="J48" s="101"/>
      <c r="K48" s="101"/>
      <c r="M48" s="127" t="s">
        <v>393</v>
      </c>
      <c r="N48" s="128"/>
      <c r="O48" s="129"/>
      <c r="P48" s="130" t="s">
        <v>393</v>
      </c>
      <c r="Q48" s="129"/>
      <c r="R48" s="131"/>
    </row>
    <row r="49" spans="1:19" ht="15.6">
      <c r="D49" s="101"/>
      <c r="E49" s="100"/>
      <c r="F49" s="101"/>
      <c r="G49" s="13"/>
      <c r="J49" s="101"/>
      <c r="K49" s="101"/>
      <c r="M49" s="151"/>
      <c r="N49" s="145"/>
      <c r="O49" s="6"/>
      <c r="P49" s="152"/>
      <c r="Q49" s="6"/>
      <c r="R49" s="148"/>
    </row>
    <row r="50" spans="1:19">
      <c r="A50">
        <v>27</v>
      </c>
      <c r="B50" t="s">
        <v>225</v>
      </c>
      <c r="D50" s="101">
        <v>0</v>
      </c>
      <c r="E50" s="100"/>
      <c r="F50" s="101"/>
      <c r="G50" s="13"/>
      <c r="J50" s="101"/>
      <c r="K50" s="101"/>
      <c r="M50" s="146" t="s">
        <v>410</v>
      </c>
      <c r="N50" s="145"/>
      <c r="O50" s="6"/>
      <c r="P50" s="147" t="s">
        <v>410</v>
      </c>
      <c r="Q50" s="6"/>
      <c r="R50" s="148"/>
    </row>
    <row r="51" spans="1:19">
      <c r="A51">
        <v>28</v>
      </c>
      <c r="B51" t="s">
        <v>226</v>
      </c>
      <c r="D51" s="101">
        <v>0</v>
      </c>
      <c r="E51" s="100">
        <v>0</v>
      </c>
      <c r="F51" s="101"/>
      <c r="G51" s="13"/>
      <c r="I51" t="s">
        <v>227</v>
      </c>
      <c r="J51" s="101">
        <f>N116*N115</f>
        <v>0</v>
      </c>
      <c r="K51" s="101">
        <f t="shared" ref="K51:K61" si="0">J51*1.15</f>
        <v>0</v>
      </c>
      <c r="M51" s="18" t="s">
        <v>357</v>
      </c>
      <c r="N51" s="145">
        <f>N31-(N43*2)</f>
        <v>13.52</v>
      </c>
      <c r="O51" s="6"/>
      <c r="P51" s="6" t="s">
        <v>357</v>
      </c>
      <c r="Q51" s="6"/>
      <c r="R51" s="836">
        <v>0</v>
      </c>
    </row>
    <row r="52" spans="1:19">
      <c r="A52">
        <v>29</v>
      </c>
      <c r="B52" t="s">
        <v>228</v>
      </c>
      <c r="D52" s="101">
        <v>0</v>
      </c>
      <c r="E52" s="100"/>
      <c r="F52" s="101"/>
      <c r="G52" s="13"/>
      <c r="I52" t="s">
        <v>229</v>
      </c>
      <c r="J52" s="101">
        <f>N118*N115</f>
        <v>0</v>
      </c>
      <c r="K52" s="101">
        <f t="shared" si="0"/>
        <v>0</v>
      </c>
      <c r="M52" s="18" t="s">
        <v>356</v>
      </c>
      <c r="N52" s="145">
        <f>N32-(N43*2)</f>
        <v>6</v>
      </c>
      <c r="O52" s="6"/>
      <c r="P52" s="6" t="s">
        <v>356</v>
      </c>
      <c r="Q52" s="6"/>
      <c r="R52" s="836">
        <v>0</v>
      </c>
    </row>
    <row r="53" spans="1:19">
      <c r="A53">
        <v>30</v>
      </c>
      <c r="B53" t="s">
        <v>83</v>
      </c>
      <c r="D53" s="101"/>
      <c r="E53" s="100"/>
      <c r="F53" s="100">
        <f>K16*0.29</f>
        <v>33.926172000000001</v>
      </c>
      <c r="G53" s="13"/>
      <c r="I53" t="s">
        <v>385</v>
      </c>
      <c r="J53" s="101">
        <f>N71</f>
        <v>0</v>
      </c>
      <c r="K53" s="101">
        <f t="shared" si="0"/>
        <v>0</v>
      </c>
      <c r="M53" s="18" t="s">
        <v>358</v>
      </c>
      <c r="N53" s="145">
        <f>N51*N52+R53</f>
        <v>81.12</v>
      </c>
      <c r="O53" s="6"/>
      <c r="P53" s="6" t="s">
        <v>358</v>
      </c>
      <c r="Q53" s="6"/>
      <c r="R53" s="836">
        <f>R51*R52</f>
        <v>0</v>
      </c>
      <c r="S53" t="s">
        <v>855</v>
      </c>
    </row>
    <row r="54" spans="1:19">
      <c r="D54" s="101"/>
      <c r="E54" s="100"/>
      <c r="F54" s="101"/>
      <c r="G54" s="13"/>
      <c r="I54" t="s">
        <v>230</v>
      </c>
      <c r="J54" s="101">
        <f>N68+N72</f>
        <v>15</v>
      </c>
      <c r="K54" s="101">
        <f t="shared" si="0"/>
        <v>17.25</v>
      </c>
      <c r="M54" s="18" t="s">
        <v>359</v>
      </c>
      <c r="N54" s="145">
        <f>N53+R54</f>
        <v>81.12</v>
      </c>
      <c r="O54" s="6"/>
      <c r="P54" s="6" t="s">
        <v>359</v>
      </c>
      <c r="Q54" s="6"/>
      <c r="R54" s="148">
        <f>R51*R52</f>
        <v>0</v>
      </c>
    </row>
    <row r="55" spans="1:19">
      <c r="D55" s="101"/>
      <c r="E55" s="100"/>
      <c r="F55" s="101"/>
      <c r="G55" s="13"/>
      <c r="J55" s="101"/>
      <c r="K55" s="101"/>
      <c r="M55" s="18"/>
      <c r="N55" s="145"/>
      <c r="O55" s="6"/>
      <c r="P55" s="6"/>
      <c r="Q55" s="6"/>
      <c r="R55" s="148"/>
    </row>
    <row r="56" spans="1:19">
      <c r="D56" s="101"/>
      <c r="E56" s="100"/>
      <c r="F56" s="101"/>
      <c r="G56" s="13"/>
      <c r="J56" s="101"/>
      <c r="K56" s="101"/>
      <c r="M56" s="18"/>
      <c r="N56" s="145"/>
      <c r="O56" s="6"/>
      <c r="P56" s="6"/>
      <c r="Q56" s="6"/>
      <c r="R56" s="148"/>
    </row>
    <row r="57" spans="1:19">
      <c r="D57" s="101"/>
      <c r="E57" s="100"/>
      <c r="F57" s="101"/>
      <c r="G57" s="13"/>
      <c r="I57" t="s">
        <v>386</v>
      </c>
      <c r="J57" s="101">
        <f>N66</f>
        <v>0</v>
      </c>
      <c r="K57" s="101"/>
      <c r="M57" s="18"/>
      <c r="N57" s="145"/>
      <c r="O57" s="6"/>
      <c r="P57" s="6"/>
      <c r="Q57" s="6"/>
      <c r="R57" s="148"/>
    </row>
    <row r="58" spans="1:19">
      <c r="D58" s="101"/>
      <c r="E58" s="100"/>
      <c r="F58" s="101"/>
      <c r="G58" s="13"/>
      <c r="I58" t="s">
        <v>231</v>
      </c>
      <c r="J58" s="101">
        <f>J53+J54+J57</f>
        <v>15</v>
      </c>
      <c r="K58" s="101">
        <f t="shared" si="0"/>
        <v>17.25</v>
      </c>
      <c r="M58" s="149" t="s">
        <v>360</v>
      </c>
      <c r="N58" s="382">
        <v>2.75</v>
      </c>
      <c r="O58" s="6"/>
      <c r="P58" s="147" t="s">
        <v>360</v>
      </c>
      <c r="Q58" s="147"/>
      <c r="R58" s="261">
        <v>2.75</v>
      </c>
    </row>
    <row r="59" spans="1:19">
      <c r="D59" s="101"/>
      <c r="E59" s="100"/>
      <c r="F59" s="101"/>
      <c r="G59" s="13"/>
      <c r="I59" t="s">
        <v>232</v>
      </c>
      <c r="J59" s="101">
        <v>0</v>
      </c>
      <c r="K59" s="101">
        <f t="shared" si="0"/>
        <v>0</v>
      </c>
      <c r="M59" s="18" t="s">
        <v>361</v>
      </c>
      <c r="N59" s="145">
        <f>(N51+N52+N51+N52)*N58+R59</f>
        <v>107.36</v>
      </c>
      <c r="O59" s="6"/>
      <c r="P59" s="6" t="s">
        <v>361</v>
      </c>
      <c r="Q59" s="6"/>
      <c r="R59" s="836">
        <f>(R51+R51+R52+R52)*R58</f>
        <v>0</v>
      </c>
    </row>
    <row r="60" spans="1:19">
      <c r="D60" s="101"/>
      <c r="E60" s="100"/>
      <c r="F60" s="101"/>
      <c r="G60" s="13"/>
      <c r="I60" t="s">
        <v>233</v>
      </c>
      <c r="J60" s="101">
        <f>N53</f>
        <v>81.12</v>
      </c>
      <c r="K60" s="101">
        <f t="shared" si="0"/>
        <v>93.287999999999997</v>
      </c>
      <c r="M60" s="18"/>
      <c r="N60" s="145"/>
      <c r="O60" s="6"/>
      <c r="P60" s="6"/>
      <c r="Q60" s="6"/>
      <c r="R60" s="148"/>
    </row>
    <row r="61" spans="1:19">
      <c r="A61" t="s">
        <v>121</v>
      </c>
      <c r="B61" t="s">
        <v>122</v>
      </c>
      <c r="D61" s="101"/>
      <c r="E61" s="100"/>
      <c r="F61" s="101"/>
      <c r="G61" s="13"/>
      <c r="I61" t="s">
        <v>234</v>
      </c>
      <c r="J61" s="101">
        <f>N64</f>
        <v>81.12</v>
      </c>
      <c r="K61" s="101">
        <f t="shared" si="0"/>
        <v>93.287999999999997</v>
      </c>
      <c r="M61" s="146" t="s">
        <v>411</v>
      </c>
      <c r="N61" s="145"/>
      <c r="O61" s="6"/>
      <c r="P61" s="147" t="s">
        <v>411</v>
      </c>
      <c r="Q61" s="6"/>
      <c r="R61" s="148"/>
    </row>
    <row r="62" spans="1:19">
      <c r="A62">
        <v>31</v>
      </c>
      <c r="B62" t="s">
        <v>235</v>
      </c>
      <c r="D62" s="101">
        <f>J31</f>
        <v>107.36</v>
      </c>
      <c r="E62" s="100"/>
      <c r="F62" s="101"/>
      <c r="G62" s="13"/>
      <c r="J62" s="101"/>
      <c r="K62" s="101"/>
      <c r="M62" s="18" t="s">
        <v>362</v>
      </c>
      <c r="N62" s="696">
        <f>N51</f>
        <v>13.52</v>
      </c>
      <c r="O62" s="6"/>
      <c r="P62" s="6" t="s">
        <v>362</v>
      </c>
      <c r="Q62" s="6"/>
      <c r="R62" s="148">
        <v>0</v>
      </c>
    </row>
    <row r="63" spans="1:19">
      <c r="A63">
        <v>32</v>
      </c>
      <c r="B63" t="s">
        <v>236</v>
      </c>
      <c r="D63" s="101">
        <f>J35</f>
        <v>81.12</v>
      </c>
      <c r="E63" s="100"/>
      <c r="F63" s="101"/>
      <c r="G63" s="13"/>
      <c r="J63" s="101"/>
      <c r="K63" s="101"/>
      <c r="M63" s="18" t="s">
        <v>363</v>
      </c>
      <c r="N63" s="696">
        <f>N52</f>
        <v>6</v>
      </c>
      <c r="O63" s="6"/>
      <c r="P63" s="6" t="s">
        <v>363</v>
      </c>
      <c r="Q63" s="6"/>
      <c r="R63" s="148">
        <v>0</v>
      </c>
    </row>
    <row r="64" spans="1:19" ht="13.8" thickBot="1">
      <c r="A64">
        <v>33</v>
      </c>
      <c r="B64" t="s">
        <v>237</v>
      </c>
      <c r="C64" t="s">
        <v>3</v>
      </c>
      <c r="D64" s="101">
        <f>K31+K35</f>
        <v>201.12479999999999</v>
      </c>
      <c r="E64" s="100"/>
      <c r="F64" s="101"/>
      <c r="G64" s="13"/>
      <c r="I64" t="s">
        <v>238</v>
      </c>
      <c r="J64" s="101">
        <f>N124</f>
        <v>3.06</v>
      </c>
      <c r="K64" s="101">
        <f t="shared" ref="K64:K69" si="1">J64*1.05</f>
        <v>3.2130000000000001</v>
      </c>
      <c r="M64" s="18" t="s">
        <v>364</v>
      </c>
      <c r="N64" s="145">
        <f>N62*N63</f>
        <v>81.12</v>
      </c>
      <c r="O64" s="6"/>
      <c r="P64" s="6" t="s">
        <v>364</v>
      </c>
      <c r="Q64" s="6"/>
      <c r="R64" s="148">
        <f>R62*R63</f>
        <v>0</v>
      </c>
    </row>
    <row r="65" spans="1:18" ht="13.8" thickBot="1">
      <c r="A65">
        <v>34</v>
      </c>
      <c r="B65" t="s">
        <v>239</v>
      </c>
      <c r="D65" s="101">
        <f>J32</f>
        <v>0</v>
      </c>
      <c r="E65" s="100"/>
      <c r="F65" s="101"/>
      <c r="G65" s="13"/>
      <c r="I65" t="s">
        <v>240</v>
      </c>
      <c r="J65" s="101">
        <f>N131</f>
        <v>13.6</v>
      </c>
      <c r="K65" s="101">
        <f t="shared" si="1"/>
        <v>14.28</v>
      </c>
      <c r="M65" s="386" t="s">
        <v>433</v>
      </c>
      <c r="N65" s="835">
        <v>0</v>
      </c>
      <c r="O65" s="121"/>
      <c r="P65" s="387" t="s">
        <v>433</v>
      </c>
      <c r="Q65" s="121"/>
      <c r="R65" s="388">
        <v>0</v>
      </c>
    </row>
    <row r="66" spans="1:18">
      <c r="A66">
        <v>35</v>
      </c>
      <c r="B66" t="s">
        <v>241</v>
      </c>
      <c r="D66" s="101">
        <f>K32</f>
        <v>0</v>
      </c>
      <c r="E66" s="100"/>
      <c r="F66" s="101"/>
      <c r="G66" s="13"/>
      <c r="I66" t="s">
        <v>242</v>
      </c>
      <c r="J66" s="101">
        <f>N125</f>
        <v>0</v>
      </c>
      <c r="K66" s="101">
        <f t="shared" si="1"/>
        <v>0</v>
      </c>
      <c r="M66" s="18" t="s">
        <v>434</v>
      </c>
      <c r="N66" s="145">
        <f>(N65*2)*N62+R66</f>
        <v>0</v>
      </c>
      <c r="O66" s="6"/>
      <c r="P66" s="6" t="s">
        <v>434</v>
      </c>
      <c r="Q66" s="6"/>
      <c r="R66" s="148">
        <f>R65*R62</f>
        <v>0</v>
      </c>
    </row>
    <row r="67" spans="1:18">
      <c r="A67">
        <v>36</v>
      </c>
      <c r="B67" t="s">
        <v>243</v>
      </c>
      <c r="D67" s="101">
        <f>D62</f>
        <v>107.36</v>
      </c>
      <c r="E67" s="100"/>
      <c r="F67" s="101"/>
      <c r="G67" s="13"/>
      <c r="I67" t="s">
        <v>244</v>
      </c>
      <c r="J67" s="101">
        <f>N132</f>
        <v>0</v>
      </c>
      <c r="K67" s="101">
        <f t="shared" si="1"/>
        <v>0</v>
      </c>
      <c r="M67" s="146"/>
      <c r="N67" s="145"/>
      <c r="O67" s="6"/>
      <c r="P67" s="147"/>
      <c r="Q67" s="6"/>
      <c r="R67" s="148"/>
    </row>
    <row r="68" spans="1:18">
      <c r="A68">
        <v>37</v>
      </c>
      <c r="B68" t="s">
        <v>245</v>
      </c>
      <c r="D68" s="101">
        <f>D65</f>
        <v>0</v>
      </c>
      <c r="E68" s="100"/>
      <c r="F68" s="101"/>
      <c r="G68" s="13"/>
      <c r="I68" t="s">
        <v>246</v>
      </c>
      <c r="J68" s="101">
        <f>N53-N124</f>
        <v>78.06</v>
      </c>
      <c r="K68" s="101">
        <f t="shared" si="1"/>
        <v>81.963000000000008</v>
      </c>
      <c r="M68" s="18"/>
      <c r="N68" s="145"/>
      <c r="O68" s="6"/>
      <c r="P68" s="6"/>
      <c r="Q68" s="6"/>
      <c r="R68" s="148"/>
    </row>
    <row r="69" spans="1:18" ht="13.8" thickBot="1">
      <c r="A69" t="s">
        <v>171</v>
      </c>
      <c r="B69" t="s">
        <v>247</v>
      </c>
      <c r="D69" s="101">
        <f>K33</f>
        <v>115.94880000000001</v>
      </c>
      <c r="E69" s="100"/>
      <c r="F69" s="101"/>
      <c r="G69" s="13"/>
      <c r="I69" t="s">
        <v>248</v>
      </c>
      <c r="J69" s="101">
        <f>N64-N125</f>
        <v>81.12</v>
      </c>
      <c r="K69" s="101">
        <f t="shared" si="1"/>
        <v>85.176000000000002</v>
      </c>
      <c r="M69" s="149"/>
      <c r="N69" s="145"/>
      <c r="O69" s="6"/>
      <c r="P69" s="150"/>
      <c r="Q69" s="6"/>
      <c r="R69" s="148"/>
    </row>
    <row r="70" spans="1:18" ht="13.8" thickBot="1">
      <c r="D70" s="101"/>
      <c r="E70" s="100"/>
      <c r="F70" s="101"/>
      <c r="G70" s="13"/>
      <c r="J70" s="101"/>
      <c r="K70" s="101"/>
      <c r="M70" s="386" t="s">
        <v>388</v>
      </c>
      <c r="N70" s="835">
        <v>0</v>
      </c>
      <c r="O70" s="121"/>
      <c r="P70" s="387" t="s">
        <v>388</v>
      </c>
      <c r="Q70" s="121"/>
      <c r="R70" s="388">
        <v>0</v>
      </c>
    </row>
    <row r="71" spans="1:18">
      <c r="A71" t="s">
        <v>172</v>
      </c>
      <c r="B71" t="s">
        <v>249</v>
      </c>
      <c r="D71" s="101">
        <f>K34</f>
        <v>0</v>
      </c>
      <c r="E71" s="100"/>
      <c r="F71" s="101"/>
      <c r="G71" s="13"/>
      <c r="J71" s="101"/>
      <c r="K71" s="101"/>
      <c r="M71" s="18" t="s">
        <v>383</v>
      </c>
      <c r="N71" s="145">
        <f>N70*N51+R54</f>
        <v>0</v>
      </c>
      <c r="O71" s="6"/>
      <c r="P71" s="6" t="s">
        <v>383</v>
      </c>
      <c r="Q71" s="6"/>
      <c r="R71" s="148">
        <f>R70*R62</f>
        <v>0</v>
      </c>
    </row>
    <row r="72" spans="1:18">
      <c r="D72" s="101"/>
      <c r="E72" s="100"/>
      <c r="F72" s="101"/>
      <c r="G72" s="13"/>
      <c r="J72" s="101"/>
      <c r="K72" s="101"/>
      <c r="M72" s="149" t="s">
        <v>391</v>
      </c>
      <c r="N72" s="382">
        <f>N40</f>
        <v>15</v>
      </c>
      <c r="O72" s="6"/>
      <c r="P72" s="147" t="s">
        <v>391</v>
      </c>
      <c r="Q72" s="6"/>
      <c r="R72" s="261"/>
    </row>
    <row r="73" spans="1:18">
      <c r="D73" s="101"/>
      <c r="E73" s="100"/>
      <c r="F73" s="101"/>
      <c r="G73" s="13"/>
      <c r="I73" t="s">
        <v>250</v>
      </c>
      <c r="J73" s="101">
        <f>N133</f>
        <v>27.2</v>
      </c>
      <c r="K73" s="101">
        <f>J73*1.05</f>
        <v>28.56</v>
      </c>
      <c r="M73" s="149" t="s">
        <v>384</v>
      </c>
      <c r="N73" s="145">
        <f>N66+N71+N72+R73</f>
        <v>15</v>
      </c>
      <c r="O73" s="6"/>
      <c r="P73" s="150" t="s">
        <v>384</v>
      </c>
      <c r="Q73" s="6"/>
      <c r="R73" s="148">
        <f>R66+R71</f>
        <v>0</v>
      </c>
    </row>
    <row r="74" spans="1:18">
      <c r="D74" s="101"/>
      <c r="E74" s="100"/>
      <c r="F74" s="101"/>
      <c r="G74" s="13"/>
      <c r="I74" t="s">
        <v>251</v>
      </c>
      <c r="J74" s="101">
        <f>N134</f>
        <v>0</v>
      </c>
      <c r="K74" s="101">
        <f>J74*1.05</f>
        <v>0</v>
      </c>
      <c r="M74" s="18"/>
      <c r="N74" s="145"/>
      <c r="O74" s="6"/>
      <c r="P74" s="6"/>
      <c r="Q74" s="6"/>
      <c r="R74" s="148"/>
    </row>
    <row r="75" spans="1:18">
      <c r="D75" s="101"/>
      <c r="E75" s="100"/>
      <c r="F75" s="101"/>
      <c r="G75" s="13"/>
      <c r="J75" s="101"/>
      <c r="K75" s="101"/>
      <c r="M75" s="18"/>
      <c r="N75" s="145"/>
      <c r="O75" s="6"/>
      <c r="P75" s="6"/>
      <c r="Q75" s="6"/>
      <c r="R75" s="148"/>
    </row>
    <row r="76" spans="1:18" ht="13.8" thickBot="1">
      <c r="D76" s="101"/>
      <c r="E76" s="100"/>
      <c r="F76" s="101"/>
      <c r="G76" s="13"/>
      <c r="I76" t="s">
        <v>381</v>
      </c>
      <c r="J76" s="101">
        <f>N144</f>
        <v>8</v>
      </c>
      <c r="K76" s="101"/>
      <c r="M76" s="18"/>
      <c r="N76" s="145"/>
      <c r="O76" s="6"/>
      <c r="P76" s="6"/>
      <c r="Q76" s="6"/>
      <c r="R76" s="148"/>
    </row>
    <row r="77" spans="1:18" ht="16.2" thickBot="1">
      <c r="A77" t="s">
        <v>123</v>
      </c>
      <c r="B77" t="s">
        <v>217</v>
      </c>
      <c r="D77" s="101"/>
      <c r="E77" s="100"/>
      <c r="F77" s="101"/>
      <c r="G77" s="13"/>
      <c r="I77" t="s">
        <v>382</v>
      </c>
      <c r="J77" s="101">
        <f>N145</f>
        <v>0</v>
      </c>
      <c r="K77" s="101"/>
      <c r="M77" s="132" t="s">
        <v>394</v>
      </c>
      <c r="N77" s="133"/>
      <c r="O77" s="134"/>
      <c r="P77" s="134"/>
      <c r="Q77" s="134"/>
      <c r="R77" s="135"/>
    </row>
    <row r="78" spans="1:18" ht="13.8" thickBot="1">
      <c r="A78">
        <v>38</v>
      </c>
      <c r="B78" t="s">
        <v>252</v>
      </c>
      <c r="D78" s="101">
        <f>J43</f>
        <v>16.5</v>
      </c>
      <c r="E78" s="100"/>
      <c r="F78" s="101"/>
      <c r="G78" s="13"/>
      <c r="I78" t="s">
        <v>253</v>
      </c>
      <c r="J78" s="101">
        <v>21.4</v>
      </c>
      <c r="K78" s="101">
        <f>J78*1.1</f>
        <v>23.54</v>
      </c>
      <c r="M78" s="18"/>
      <c r="N78" s="145"/>
      <c r="O78" s="6"/>
      <c r="P78" s="6"/>
      <c r="Q78" s="6" t="s">
        <v>3</v>
      </c>
      <c r="R78" s="148"/>
    </row>
    <row r="79" spans="1:18" ht="13.8" thickBot="1">
      <c r="A79">
        <v>39</v>
      </c>
      <c r="B79" t="s">
        <v>254</v>
      </c>
      <c r="D79" s="101">
        <f>J44</f>
        <v>88</v>
      </c>
      <c r="E79" s="100"/>
      <c r="F79" s="101"/>
      <c r="G79" s="13"/>
      <c r="I79" t="s">
        <v>255</v>
      </c>
      <c r="J79" s="101">
        <v>15.1</v>
      </c>
      <c r="K79" s="101"/>
      <c r="M79" s="475" t="s">
        <v>469</v>
      </c>
      <c r="N79" s="837">
        <v>0</v>
      </c>
      <c r="O79" s="476"/>
      <c r="P79" s="476" t="s">
        <v>447</v>
      </c>
      <c r="Q79" s="837">
        <f>R31</f>
        <v>0</v>
      </c>
      <c r="R79" s="477"/>
    </row>
    <row r="80" spans="1:18" ht="13.8" thickBot="1">
      <c r="A80">
        <v>40</v>
      </c>
      <c r="B80" t="s">
        <v>256</v>
      </c>
      <c r="D80" s="101">
        <f>J45</f>
        <v>81.12</v>
      </c>
      <c r="E80" s="100"/>
      <c r="F80" s="101"/>
      <c r="G80" s="13"/>
      <c r="I80" t="s">
        <v>257</v>
      </c>
      <c r="J80" s="101">
        <v>12.6</v>
      </c>
      <c r="K80" s="101">
        <f>(N33+N36)*4</f>
        <v>209.2</v>
      </c>
      <c r="M80" s="478" t="s">
        <v>470</v>
      </c>
      <c r="N80" s="838">
        <v>0</v>
      </c>
      <c r="O80" s="479"/>
      <c r="P80" s="479" t="s">
        <v>448</v>
      </c>
      <c r="Q80" s="838">
        <f>R32</f>
        <v>0</v>
      </c>
      <c r="R80" s="480"/>
    </row>
    <row r="81" spans="1:18">
      <c r="A81">
        <v>41</v>
      </c>
      <c r="B81" t="s">
        <v>258</v>
      </c>
      <c r="D81" s="101">
        <f>J46</f>
        <v>107.36</v>
      </c>
      <c r="E81" s="100"/>
      <c r="F81" s="101"/>
      <c r="G81" s="13"/>
      <c r="I81" t="s">
        <v>259</v>
      </c>
      <c r="J81" s="101">
        <v>3</v>
      </c>
      <c r="K81" s="101">
        <v>0</v>
      </c>
      <c r="M81" s="149" t="s">
        <v>524</v>
      </c>
      <c r="N81" s="145">
        <f>N79*N80</f>
        <v>0</v>
      </c>
      <c r="O81" s="6"/>
      <c r="P81" s="150" t="s">
        <v>416</v>
      </c>
      <c r="Q81" s="145">
        <f>Q79*Q80</f>
        <v>0</v>
      </c>
      <c r="R81" s="148"/>
    </row>
    <row r="82" spans="1:18" ht="13.8" thickBot="1">
      <c r="D82" s="101"/>
      <c r="E82" s="100"/>
      <c r="F82" s="101"/>
      <c r="G82" s="13"/>
      <c r="J82" s="101"/>
      <c r="K82" s="101"/>
      <c r="M82" s="146" t="s">
        <v>370</v>
      </c>
      <c r="N82" s="839">
        <v>0</v>
      </c>
      <c r="O82" s="6"/>
      <c r="P82" s="147" t="s">
        <v>370</v>
      </c>
      <c r="Q82" s="145">
        <v>0</v>
      </c>
      <c r="R82" s="261"/>
    </row>
    <row r="83" spans="1:18" ht="13.8" thickBot="1">
      <c r="D83" s="101"/>
      <c r="E83" s="100"/>
      <c r="F83" s="101"/>
      <c r="G83" s="13"/>
      <c r="J83" s="101"/>
      <c r="K83" s="693" t="s">
        <v>658</v>
      </c>
      <c r="L83" s="848"/>
      <c r="M83" s="150" t="s">
        <v>429</v>
      </c>
      <c r="N83" s="145">
        <f>N81+N82</f>
        <v>0</v>
      </c>
      <c r="O83" s="6"/>
      <c r="P83" s="150" t="s">
        <v>429</v>
      </c>
      <c r="Q83" s="145">
        <f>Q81+Q82</f>
        <v>0</v>
      </c>
      <c r="R83" s="148"/>
    </row>
    <row r="84" spans="1:18" ht="13.8" thickBot="1">
      <c r="D84" s="101"/>
      <c r="E84" s="100"/>
      <c r="F84" s="101"/>
      <c r="G84" s="13"/>
      <c r="J84" s="101"/>
      <c r="K84" s="695" t="s">
        <v>659</v>
      </c>
      <c r="L84" s="366">
        <f>RADIANS(L83)</f>
        <v>0</v>
      </c>
      <c r="M84" s="387" t="s">
        <v>415</v>
      </c>
      <c r="N84" s="391">
        <f>COS(L84)</f>
        <v>1</v>
      </c>
      <c r="O84" s="121"/>
      <c r="P84" s="387" t="s">
        <v>446</v>
      </c>
      <c r="Q84" s="392">
        <v>0</v>
      </c>
      <c r="R84" s="388"/>
    </row>
    <row r="85" spans="1:18">
      <c r="D85" s="101"/>
      <c r="E85" s="100"/>
      <c r="F85" s="101"/>
      <c r="G85" s="13"/>
      <c r="J85" s="101"/>
      <c r="K85" s="101"/>
      <c r="M85" s="149" t="s">
        <v>401</v>
      </c>
      <c r="N85" s="145">
        <f>N83/N84</f>
        <v>0</v>
      </c>
      <c r="O85" s="6"/>
      <c r="P85" s="150" t="s">
        <v>401</v>
      </c>
      <c r="Q85" s="145">
        <v>0</v>
      </c>
      <c r="R85" s="148"/>
    </row>
    <row r="86" spans="1:18">
      <c r="D86" s="101"/>
      <c r="E86" s="100"/>
      <c r="F86" s="101"/>
      <c r="G86" s="13"/>
      <c r="J86" s="101"/>
      <c r="K86" s="101"/>
      <c r="M86" s="149" t="s">
        <v>308</v>
      </c>
      <c r="N86" s="843">
        <v>140</v>
      </c>
      <c r="O86" s="6"/>
      <c r="P86" s="150" t="s">
        <v>308</v>
      </c>
      <c r="Q86" s="145">
        <v>0</v>
      </c>
      <c r="R86" s="148"/>
    </row>
    <row r="87" spans="1:18">
      <c r="D87" s="101"/>
      <c r="E87" s="100"/>
      <c r="F87" s="101"/>
      <c r="G87" s="13"/>
      <c r="J87" s="101"/>
      <c r="K87" s="101"/>
      <c r="M87" s="149" t="s">
        <v>449</v>
      </c>
      <c r="N87" s="381">
        <f>N86*1.06</f>
        <v>148.4</v>
      </c>
      <c r="O87" s="6"/>
      <c r="P87" s="150" t="s">
        <v>450</v>
      </c>
      <c r="Q87" s="145">
        <f>Q86*1.1</f>
        <v>0</v>
      </c>
      <c r="R87" s="148"/>
    </row>
    <row r="88" spans="1:18">
      <c r="D88" s="101"/>
      <c r="E88" s="100"/>
      <c r="F88" s="101"/>
      <c r="G88" s="13"/>
      <c r="J88" s="101"/>
      <c r="K88" s="101"/>
      <c r="M88" s="149" t="s">
        <v>463</v>
      </c>
      <c r="N88" s="382">
        <v>0</v>
      </c>
      <c r="O88" s="6"/>
      <c r="P88" s="319" t="s">
        <v>463</v>
      </c>
      <c r="Q88" s="6">
        <v>0</v>
      </c>
      <c r="R88" s="148"/>
    </row>
    <row r="89" spans="1:18" ht="13.8" thickBot="1">
      <c r="D89" s="101"/>
      <c r="E89" s="100"/>
      <c r="F89" s="101"/>
      <c r="G89" s="13"/>
      <c r="J89" s="101"/>
      <c r="K89" s="101"/>
      <c r="M89" s="149"/>
      <c r="N89" s="382"/>
      <c r="O89" s="6"/>
      <c r="P89" s="319"/>
      <c r="Q89" s="6"/>
      <c r="R89" s="148"/>
    </row>
    <row r="90" spans="1:18" ht="13.8" thickBot="1">
      <c r="D90" s="101"/>
      <c r="E90" s="100"/>
      <c r="F90" s="101"/>
      <c r="G90" s="13"/>
      <c r="J90" s="101"/>
      <c r="K90" s="101"/>
      <c r="M90" s="396" t="s">
        <v>310</v>
      </c>
      <c r="N90" s="840">
        <v>9</v>
      </c>
      <c r="O90" s="397"/>
      <c r="P90" s="319"/>
      <c r="Q90" s="6"/>
      <c r="R90" s="148"/>
    </row>
    <row r="91" spans="1:18" ht="13.8" thickBot="1">
      <c r="D91" s="101"/>
      <c r="E91" s="100"/>
      <c r="F91" s="101"/>
      <c r="G91" s="13"/>
      <c r="J91" s="101"/>
      <c r="K91" s="101"/>
      <c r="M91" s="386" t="s">
        <v>309</v>
      </c>
      <c r="N91" s="835">
        <v>9</v>
      </c>
      <c r="O91" s="393"/>
      <c r="P91" s="319"/>
      <c r="Q91" s="6"/>
      <c r="R91" s="148"/>
    </row>
    <row r="92" spans="1:18" ht="13.8" thickBot="1">
      <c r="D92" s="101"/>
      <c r="E92" s="100"/>
      <c r="F92" s="101"/>
      <c r="G92" s="13"/>
      <c r="J92" s="101"/>
      <c r="K92" s="101"/>
      <c r="M92" s="389" t="s">
        <v>311</v>
      </c>
      <c r="N92" s="841">
        <v>31</v>
      </c>
      <c r="O92" s="398"/>
      <c r="P92" s="319"/>
      <c r="Q92" s="6"/>
      <c r="R92" s="148"/>
    </row>
    <row r="93" spans="1:18" ht="13.8" thickBot="1">
      <c r="D93" s="101"/>
      <c r="E93" s="100"/>
      <c r="F93" s="101"/>
      <c r="G93" s="13"/>
      <c r="J93" s="101"/>
      <c r="K93" s="101"/>
      <c r="M93" s="386" t="s">
        <v>312</v>
      </c>
      <c r="N93" s="842">
        <v>16</v>
      </c>
      <c r="O93" s="140"/>
      <c r="P93" s="319"/>
      <c r="Q93" s="6"/>
      <c r="R93" s="148"/>
    </row>
    <row r="94" spans="1:18" ht="13.8" thickBot="1">
      <c r="D94" s="101"/>
      <c r="E94" s="100"/>
      <c r="F94" s="101"/>
      <c r="G94" s="13"/>
      <c r="J94" s="101"/>
      <c r="K94" s="101"/>
      <c r="M94" s="386" t="s">
        <v>412</v>
      </c>
      <c r="N94" s="835">
        <v>0</v>
      </c>
      <c r="O94" s="387"/>
      <c r="P94" s="387"/>
      <c r="Q94" s="387"/>
      <c r="R94" s="388"/>
    </row>
    <row r="95" spans="1:18" ht="13.8" thickBot="1">
      <c r="D95" s="101"/>
      <c r="E95" s="100"/>
      <c r="F95" s="101"/>
      <c r="G95" s="13"/>
      <c r="J95" s="101"/>
      <c r="K95" s="101"/>
      <c r="M95" s="18"/>
      <c r="N95" s="145"/>
      <c r="O95" s="6"/>
      <c r="P95" s="6"/>
      <c r="Q95" s="6"/>
      <c r="R95" s="148"/>
    </row>
    <row r="96" spans="1:18" ht="16.2" thickBot="1">
      <c r="D96" s="101"/>
      <c r="E96" s="100"/>
      <c r="F96" s="101"/>
      <c r="G96" s="13"/>
      <c r="J96" s="101"/>
      <c r="K96" s="101"/>
      <c r="M96" s="136" t="s">
        <v>395</v>
      </c>
      <c r="N96" s="137"/>
      <c r="O96" s="138"/>
      <c r="P96" s="138"/>
      <c r="Q96" s="138"/>
      <c r="R96" s="139"/>
    </row>
    <row r="97" spans="1:20" ht="13.8" thickBot="1">
      <c r="A97">
        <v>42</v>
      </c>
      <c r="B97" t="s">
        <v>260</v>
      </c>
      <c r="D97" s="101">
        <f>J51</f>
        <v>0</v>
      </c>
      <c r="E97" s="100"/>
      <c r="F97" s="101"/>
      <c r="G97" s="13"/>
      <c r="I97" t="s">
        <v>261</v>
      </c>
      <c r="J97" s="101">
        <v>25.9</v>
      </c>
      <c r="K97" s="101"/>
      <c r="M97" s="18"/>
      <c r="N97" s="145"/>
      <c r="O97" s="6"/>
      <c r="P97" s="6"/>
      <c r="Q97" s="6"/>
      <c r="R97" s="148"/>
    </row>
    <row r="98" spans="1:20" ht="13.8" thickBot="1">
      <c r="A98">
        <v>43</v>
      </c>
      <c r="B98" t="s">
        <v>262</v>
      </c>
      <c r="D98" s="101">
        <f>K52</f>
        <v>0</v>
      </c>
      <c r="E98" s="100"/>
      <c r="F98" s="101"/>
      <c r="G98" s="13"/>
      <c r="I98" t="s">
        <v>263</v>
      </c>
      <c r="J98" s="101">
        <v>1</v>
      </c>
      <c r="K98" s="101"/>
      <c r="M98" s="161" t="s">
        <v>374</v>
      </c>
      <c r="N98" s="160"/>
      <c r="O98" s="147"/>
      <c r="P98" s="147" t="s">
        <v>374</v>
      </c>
      <c r="Q98" s="6"/>
      <c r="R98" s="7"/>
    </row>
    <row r="99" spans="1:20">
      <c r="D99" s="101"/>
      <c r="E99" s="100"/>
      <c r="F99" s="101"/>
      <c r="G99" s="13"/>
      <c r="J99" s="101"/>
      <c r="K99" s="101"/>
      <c r="M99" s="18"/>
      <c r="N99" s="145"/>
      <c r="O99" s="6"/>
      <c r="P99" s="6"/>
      <c r="Q99" s="6"/>
      <c r="R99" s="7"/>
    </row>
    <row r="100" spans="1:20">
      <c r="A100">
        <v>44</v>
      </c>
      <c r="B100" t="s">
        <v>264</v>
      </c>
      <c r="D100" s="101">
        <f>J53</f>
        <v>0</v>
      </c>
      <c r="E100" s="100"/>
      <c r="F100" s="101"/>
      <c r="G100" s="13"/>
      <c r="I100" t="s">
        <v>265</v>
      </c>
      <c r="J100" s="101">
        <v>0</v>
      </c>
      <c r="K100" s="101"/>
      <c r="M100" s="149" t="s">
        <v>360</v>
      </c>
      <c r="N100" s="382">
        <v>2.75</v>
      </c>
      <c r="O100" s="6"/>
      <c r="P100" s="147" t="s">
        <v>360</v>
      </c>
      <c r="Q100" s="147"/>
      <c r="R100" s="262">
        <v>0</v>
      </c>
    </row>
    <row r="101" spans="1:20" ht="13.8" thickBot="1">
      <c r="D101" s="101"/>
      <c r="E101" s="100"/>
      <c r="F101" s="101"/>
      <c r="G101" s="13"/>
      <c r="J101" s="101"/>
      <c r="K101" s="101"/>
      <c r="M101" s="146"/>
      <c r="N101" s="145"/>
      <c r="O101" s="6"/>
      <c r="P101" s="147"/>
      <c r="Q101" s="147"/>
      <c r="R101" s="7"/>
    </row>
    <row r="102" spans="1:20" ht="13.8" thickBot="1">
      <c r="A102">
        <v>45</v>
      </c>
      <c r="B102" t="s">
        <v>266</v>
      </c>
      <c r="D102" s="101">
        <f>J57+J54</f>
        <v>15</v>
      </c>
      <c r="E102" s="100"/>
      <c r="F102" s="101"/>
      <c r="G102" s="13"/>
      <c r="I102" t="s">
        <v>267</v>
      </c>
      <c r="J102" s="101">
        <v>2</v>
      </c>
      <c r="K102" s="101"/>
      <c r="M102" s="386" t="s">
        <v>371</v>
      </c>
      <c r="N102" s="844">
        <v>6</v>
      </c>
      <c r="O102" s="121"/>
      <c r="P102" s="387" t="s">
        <v>371</v>
      </c>
      <c r="Q102" s="121"/>
      <c r="R102" s="393"/>
    </row>
    <row r="103" spans="1:20">
      <c r="D103" s="101"/>
      <c r="E103" s="100"/>
      <c r="F103" s="101"/>
      <c r="G103" s="13"/>
      <c r="J103" s="101"/>
      <c r="K103" s="101"/>
      <c r="M103" s="149" t="s">
        <v>413</v>
      </c>
      <c r="N103" s="145">
        <f>+N100*N102</f>
        <v>16.5</v>
      </c>
      <c r="O103" s="6"/>
      <c r="P103" s="150" t="s">
        <v>413</v>
      </c>
      <c r="Q103" s="6"/>
      <c r="R103" s="7">
        <f>R100*R102</f>
        <v>0</v>
      </c>
    </row>
    <row r="104" spans="1:20" ht="13.8" thickBot="1">
      <c r="D104" s="101"/>
      <c r="E104" s="100"/>
      <c r="F104" s="101"/>
      <c r="G104" s="13"/>
      <c r="J104" s="101"/>
      <c r="K104" s="101"/>
      <c r="M104" s="149"/>
      <c r="N104" s="145"/>
      <c r="O104" s="6"/>
      <c r="P104" s="147"/>
      <c r="Q104" s="6"/>
      <c r="R104" s="7"/>
    </row>
    <row r="105" spans="1:20" ht="13.8" thickBot="1">
      <c r="A105">
        <v>46</v>
      </c>
      <c r="B105" t="s">
        <v>268</v>
      </c>
      <c r="D105" s="101">
        <f>D100+D102</f>
        <v>15</v>
      </c>
      <c r="E105" s="100"/>
      <c r="F105" s="101"/>
      <c r="G105" s="13"/>
      <c r="J105" s="101"/>
      <c r="K105" s="101"/>
      <c r="M105" s="386" t="s">
        <v>372</v>
      </c>
      <c r="N105" s="835">
        <v>32</v>
      </c>
      <c r="O105" s="121"/>
      <c r="P105" s="387" t="s">
        <v>372</v>
      </c>
      <c r="Q105" s="121"/>
      <c r="R105" s="393">
        <v>0</v>
      </c>
    </row>
    <row r="106" spans="1:20">
      <c r="D106" s="101"/>
      <c r="E106" s="100"/>
      <c r="F106" s="101"/>
      <c r="G106" s="13"/>
      <c r="J106" s="101"/>
      <c r="K106" s="101"/>
      <c r="M106" s="149" t="s">
        <v>414</v>
      </c>
      <c r="N106" s="145">
        <f>N100*N105+R106</f>
        <v>88</v>
      </c>
      <c r="O106" s="6"/>
      <c r="P106" s="150" t="s">
        <v>414</v>
      </c>
      <c r="Q106" s="6"/>
      <c r="R106" s="148">
        <f>R100*R105</f>
        <v>0</v>
      </c>
    </row>
    <row r="107" spans="1:20">
      <c r="D107" s="101"/>
      <c r="E107" s="100"/>
      <c r="F107" s="101"/>
      <c r="G107" s="13"/>
      <c r="J107" s="101"/>
      <c r="K107" s="101"/>
      <c r="M107" s="149"/>
      <c r="N107" s="145"/>
      <c r="O107" s="6"/>
      <c r="P107" s="150"/>
      <c r="Q107" s="6"/>
      <c r="R107" s="148"/>
    </row>
    <row r="108" spans="1:20">
      <c r="D108" s="101"/>
      <c r="E108" s="100"/>
      <c r="F108" s="101"/>
      <c r="G108" s="13"/>
      <c r="I108" t="s">
        <v>299</v>
      </c>
      <c r="J108" s="101">
        <f>N59+N54+N109</f>
        <v>188.48000000000002</v>
      </c>
      <c r="K108" s="101"/>
      <c r="M108" s="18" t="s">
        <v>221</v>
      </c>
      <c r="N108" s="145">
        <v>0</v>
      </c>
      <c r="O108" s="6"/>
      <c r="P108" s="6" t="s">
        <v>221</v>
      </c>
      <c r="Q108" s="6"/>
      <c r="R108" s="148">
        <f>R54</f>
        <v>0</v>
      </c>
    </row>
    <row r="109" spans="1:20">
      <c r="D109" s="101"/>
      <c r="E109" s="100"/>
      <c r="F109" s="101"/>
      <c r="G109" s="13"/>
      <c r="I109" t="s">
        <v>300</v>
      </c>
      <c r="J109" s="101">
        <f>N73+(60.65*2)</f>
        <v>136.30000000000001</v>
      </c>
      <c r="K109" s="101"/>
      <c r="M109" s="149" t="s">
        <v>439</v>
      </c>
      <c r="N109" s="145"/>
      <c r="O109" s="6"/>
      <c r="P109" s="150"/>
      <c r="Q109" s="6"/>
      <c r="R109" s="7"/>
    </row>
    <row r="110" spans="1:20">
      <c r="D110" s="101"/>
      <c r="E110" s="100"/>
      <c r="F110" s="101"/>
      <c r="G110" s="13"/>
      <c r="J110" s="101"/>
      <c r="K110" s="101"/>
      <c r="M110" s="149"/>
      <c r="N110" s="145"/>
      <c r="O110" s="6"/>
      <c r="P110" s="150"/>
      <c r="Q110" s="6"/>
      <c r="R110" s="7"/>
    </row>
    <row r="111" spans="1:20">
      <c r="D111" s="101"/>
      <c r="E111" s="100"/>
      <c r="F111" s="101"/>
      <c r="G111" s="13"/>
      <c r="J111" s="101"/>
      <c r="K111" s="101"/>
      <c r="M111" s="149" t="s">
        <v>224</v>
      </c>
      <c r="N111" s="382"/>
      <c r="O111" s="150"/>
      <c r="P111" s="150" t="s">
        <v>224</v>
      </c>
      <c r="Q111" s="6"/>
      <c r="R111" s="262"/>
    </row>
    <row r="112" spans="1:20" ht="13.8" thickBot="1">
      <c r="D112" s="101"/>
      <c r="E112" s="100"/>
      <c r="F112" s="101"/>
      <c r="G112" s="13"/>
      <c r="I112" t="s">
        <v>421</v>
      </c>
      <c r="J112" s="101">
        <f>N146</f>
        <v>0</v>
      </c>
      <c r="K112" s="101"/>
      <c r="M112" s="18"/>
      <c r="N112" s="145"/>
      <c r="O112" s="6"/>
      <c r="P112" s="6"/>
      <c r="Q112" s="6"/>
      <c r="R112" s="7"/>
      <c r="T112" t="s">
        <v>487</v>
      </c>
    </row>
    <row r="113" spans="1:18" ht="13.8" thickBot="1">
      <c r="D113" s="101"/>
      <c r="E113" s="100"/>
      <c r="F113" s="101"/>
      <c r="G113" s="13"/>
      <c r="J113" s="101"/>
      <c r="K113" s="101"/>
      <c r="M113" s="162" t="s">
        <v>373</v>
      </c>
      <c r="N113" s="160"/>
      <c r="O113" s="147"/>
      <c r="P113" s="147" t="s">
        <v>373</v>
      </c>
      <c r="Q113" s="6"/>
      <c r="R113" s="262"/>
    </row>
    <row r="114" spans="1:18">
      <c r="D114" s="101"/>
      <c r="E114" s="100"/>
      <c r="F114" s="101"/>
      <c r="G114" s="13"/>
      <c r="J114" s="101"/>
      <c r="K114" s="101"/>
      <c r="M114" s="146"/>
      <c r="N114" s="160"/>
      <c r="O114" s="147"/>
      <c r="P114" s="147"/>
      <c r="Q114" s="6"/>
      <c r="R114" s="7"/>
    </row>
    <row r="115" spans="1:18" ht="13.8" thickBot="1">
      <c r="D115" s="101"/>
      <c r="E115" s="100"/>
      <c r="F115" s="101"/>
      <c r="G115" s="13"/>
      <c r="J115" s="101"/>
      <c r="K115" s="101"/>
      <c r="M115" s="149" t="s">
        <v>360</v>
      </c>
      <c r="N115" s="382">
        <v>2.65</v>
      </c>
      <c r="O115" s="6"/>
      <c r="P115" s="147" t="s">
        <v>360</v>
      </c>
      <c r="Q115" s="147">
        <v>0</v>
      </c>
      <c r="R115" s="262"/>
    </row>
    <row r="116" spans="1:18" ht="13.8" thickBot="1">
      <c r="A116" t="s">
        <v>124</v>
      </c>
      <c r="B116" t="s">
        <v>269</v>
      </c>
      <c r="D116" s="101"/>
      <c r="E116" s="100"/>
      <c r="F116" s="101"/>
      <c r="G116" s="13"/>
      <c r="J116" s="101"/>
      <c r="K116" s="101"/>
      <c r="M116" s="386" t="s">
        <v>375</v>
      </c>
      <c r="N116" s="835">
        <v>0</v>
      </c>
      <c r="O116" s="121"/>
      <c r="P116" s="387" t="s">
        <v>375</v>
      </c>
      <c r="Q116" s="387">
        <v>0</v>
      </c>
      <c r="R116" s="393"/>
    </row>
    <row r="117" spans="1:18" ht="13.8" thickBot="1">
      <c r="D117" s="101"/>
      <c r="E117" s="100"/>
      <c r="F117" s="101"/>
      <c r="G117" s="13"/>
      <c r="J117" s="101"/>
      <c r="K117" s="101"/>
      <c r="M117" s="146"/>
      <c r="N117" s="145"/>
      <c r="O117" s="6"/>
      <c r="P117" s="147"/>
      <c r="Q117" s="6"/>
      <c r="R117" s="7"/>
    </row>
    <row r="118" spans="1:18" ht="13.8" thickBot="1">
      <c r="A118">
        <v>47</v>
      </c>
      <c r="B118" t="s">
        <v>270</v>
      </c>
      <c r="D118" s="101"/>
      <c r="E118" s="100">
        <f>J76</f>
        <v>8</v>
      </c>
      <c r="F118" s="101"/>
      <c r="G118" s="13"/>
      <c r="J118" s="101"/>
      <c r="K118" s="101"/>
      <c r="M118" s="386" t="s">
        <v>376</v>
      </c>
      <c r="N118" s="835">
        <v>0</v>
      </c>
      <c r="O118" s="121"/>
      <c r="P118" s="387" t="s">
        <v>376</v>
      </c>
      <c r="Q118" s="121">
        <v>0</v>
      </c>
      <c r="R118" s="393"/>
    </row>
    <row r="119" spans="1:18">
      <c r="A119">
        <v>48</v>
      </c>
      <c r="B119" t="s">
        <v>271</v>
      </c>
      <c r="D119" s="101"/>
      <c r="E119" s="100">
        <f>J102</f>
        <v>2</v>
      </c>
      <c r="F119" s="101"/>
      <c r="G119" s="13"/>
      <c r="J119" s="101"/>
      <c r="K119" s="101"/>
      <c r="M119" s="149" t="s">
        <v>440</v>
      </c>
      <c r="N119" s="145">
        <f>N116*0.25+N118*0.1</f>
        <v>0</v>
      </c>
      <c r="O119" s="6"/>
      <c r="P119" s="150"/>
      <c r="Q119" s="6"/>
      <c r="R119" s="7"/>
    </row>
    <row r="120" spans="1:18">
      <c r="A120">
        <v>49</v>
      </c>
      <c r="B120" t="s">
        <v>272</v>
      </c>
      <c r="D120" s="101"/>
      <c r="E120" s="100">
        <v>21.4</v>
      </c>
      <c r="F120" s="101"/>
      <c r="G120" s="13"/>
      <c r="J120" s="101"/>
      <c r="K120" s="101"/>
      <c r="M120" s="149" t="s">
        <v>389</v>
      </c>
      <c r="N120" s="145">
        <f>N118*N115</f>
        <v>0</v>
      </c>
      <c r="O120" s="6"/>
      <c r="P120" s="150" t="s">
        <v>389</v>
      </c>
      <c r="Q120" s="6">
        <f>(Q115*Q116)+Q115*Q118</f>
        <v>0</v>
      </c>
      <c r="R120" s="7"/>
    </row>
    <row r="121" spans="1:18" ht="13.8" thickBot="1">
      <c r="A121">
        <v>50</v>
      </c>
      <c r="B121" t="s">
        <v>273</v>
      </c>
      <c r="D121" s="101">
        <f>J64</f>
        <v>3.06</v>
      </c>
      <c r="E121" s="100"/>
      <c r="F121" s="101"/>
      <c r="G121" s="13"/>
      <c r="J121" s="101"/>
      <c r="K121" s="101"/>
      <c r="M121" s="18"/>
      <c r="N121" s="145"/>
      <c r="O121" s="6"/>
      <c r="P121" s="6"/>
      <c r="Q121" s="6"/>
      <c r="R121" s="7"/>
    </row>
    <row r="122" spans="1:18" ht="13.8" thickBot="1">
      <c r="A122">
        <v>51</v>
      </c>
      <c r="B122" t="s">
        <v>274</v>
      </c>
      <c r="D122" s="101">
        <f>J73</f>
        <v>27.2</v>
      </c>
      <c r="E122" s="100"/>
      <c r="F122" s="101"/>
      <c r="G122" s="13"/>
      <c r="J122" s="101"/>
      <c r="K122" s="101"/>
      <c r="M122" s="141" t="s">
        <v>445</v>
      </c>
      <c r="N122" s="142"/>
      <c r="O122" s="143"/>
      <c r="P122" s="143"/>
      <c r="Q122" s="143"/>
      <c r="R122" s="144"/>
    </row>
    <row r="123" spans="1:18" ht="13.8" thickBot="1">
      <c r="A123">
        <v>52</v>
      </c>
      <c r="B123" t="s">
        <v>275</v>
      </c>
      <c r="D123" s="101"/>
      <c r="E123" s="100">
        <v>1</v>
      </c>
      <c r="F123" s="101"/>
      <c r="G123" s="13">
        <f>(E121+E122)*101</f>
        <v>0</v>
      </c>
      <c r="J123" s="101"/>
      <c r="K123" s="101"/>
      <c r="M123" s="146"/>
      <c r="N123" s="145"/>
      <c r="O123" s="6"/>
      <c r="P123" s="6"/>
      <c r="Q123" s="6"/>
      <c r="R123" s="7"/>
    </row>
    <row r="124" spans="1:18" ht="13.8" thickBot="1">
      <c r="D124" s="101"/>
      <c r="E124" s="100"/>
      <c r="F124" s="101"/>
      <c r="G124" s="13"/>
      <c r="J124" s="101"/>
      <c r="K124" s="101"/>
      <c r="M124" s="386" t="s">
        <v>377</v>
      </c>
      <c r="N124" s="835">
        <v>3.06</v>
      </c>
      <c r="O124" s="121"/>
      <c r="P124" s="387" t="s">
        <v>377</v>
      </c>
      <c r="Q124" s="121"/>
      <c r="R124" s="140">
        <v>0</v>
      </c>
    </row>
    <row r="125" spans="1:18" ht="13.8" thickBot="1">
      <c r="A125">
        <v>53</v>
      </c>
      <c r="B125" t="s">
        <v>276</v>
      </c>
      <c r="D125" s="101">
        <f>J66</f>
        <v>0</v>
      </c>
      <c r="E125" s="100"/>
      <c r="F125" s="101"/>
      <c r="G125" s="13"/>
      <c r="J125" s="101"/>
      <c r="K125" s="101"/>
      <c r="M125" s="386" t="s">
        <v>378</v>
      </c>
      <c r="N125" s="835">
        <v>0</v>
      </c>
      <c r="O125" s="121"/>
      <c r="P125" s="121"/>
      <c r="Q125" s="121"/>
      <c r="R125" s="140"/>
    </row>
    <row r="126" spans="1:18" ht="13.8" thickBot="1">
      <c r="A126">
        <v>54</v>
      </c>
      <c r="B126" t="s">
        <v>277</v>
      </c>
      <c r="D126" s="101">
        <f>J74</f>
        <v>0</v>
      </c>
      <c r="E126" s="100"/>
      <c r="F126" s="101"/>
      <c r="G126" s="13"/>
      <c r="J126" s="101"/>
      <c r="K126" s="101"/>
      <c r="M126" s="146"/>
      <c r="N126" s="145"/>
      <c r="O126" s="6"/>
      <c r="P126" s="6"/>
      <c r="Q126" s="6"/>
      <c r="R126" s="7"/>
    </row>
    <row r="127" spans="1:18" ht="13.8" thickBot="1">
      <c r="D127" s="101"/>
      <c r="E127" s="100"/>
      <c r="F127" s="101"/>
      <c r="G127" s="13"/>
      <c r="J127" s="101"/>
      <c r="K127" s="101"/>
      <c r="M127" s="386" t="s">
        <v>521</v>
      </c>
      <c r="N127" s="835">
        <v>3.06</v>
      </c>
      <c r="O127" s="121"/>
      <c r="P127" s="121"/>
      <c r="Q127" s="121"/>
      <c r="R127" s="140"/>
    </row>
    <row r="128" spans="1:18" ht="13.8" thickBot="1">
      <c r="D128" s="101"/>
      <c r="E128" s="100"/>
      <c r="F128" s="101"/>
      <c r="G128" s="13"/>
      <c r="J128" s="101"/>
      <c r="K128" s="101"/>
      <c r="M128" s="386" t="s">
        <v>522</v>
      </c>
      <c r="N128" s="835">
        <v>0</v>
      </c>
      <c r="O128" s="121"/>
      <c r="P128" s="121"/>
      <c r="Q128" s="121"/>
      <c r="R128" s="140"/>
    </row>
    <row r="129" spans="1:18">
      <c r="A129">
        <v>55</v>
      </c>
      <c r="B129" t="s">
        <v>278</v>
      </c>
      <c r="D129" s="101"/>
      <c r="E129" s="100">
        <v>1</v>
      </c>
      <c r="F129" s="101"/>
      <c r="G129" s="13">
        <f>(E125+E126)*101</f>
        <v>0</v>
      </c>
      <c r="J129" s="101"/>
      <c r="K129" s="101"/>
      <c r="M129" s="18" t="s">
        <v>408</v>
      </c>
      <c r="N129" s="145">
        <v>2</v>
      </c>
      <c r="O129" s="6"/>
      <c r="P129" s="6"/>
      <c r="Q129" s="6"/>
      <c r="R129" s="7"/>
    </row>
    <row r="130" spans="1:18" ht="13.8" thickBot="1">
      <c r="A130">
        <v>56</v>
      </c>
      <c r="B130" t="s">
        <v>279</v>
      </c>
      <c r="D130" s="101">
        <f>K60</f>
        <v>93.287999999999997</v>
      </c>
      <c r="E130" s="100"/>
      <c r="F130" s="101"/>
      <c r="G130" s="13"/>
      <c r="J130" s="101"/>
      <c r="K130" s="101"/>
      <c r="M130" s="18" t="s">
        <v>409</v>
      </c>
      <c r="N130" s="145">
        <v>2</v>
      </c>
      <c r="O130" s="6"/>
      <c r="P130" s="6"/>
      <c r="Q130" s="6"/>
      <c r="R130" s="7"/>
    </row>
    <row r="131" spans="1:18">
      <c r="A131" t="s">
        <v>280</v>
      </c>
      <c r="B131" t="s">
        <v>281</v>
      </c>
      <c r="D131" s="101">
        <f>J60</f>
        <v>81.12</v>
      </c>
      <c r="E131" s="100"/>
      <c r="F131" s="101"/>
      <c r="G131" s="13"/>
      <c r="J131" s="101"/>
      <c r="K131" s="101"/>
      <c r="M131" s="396" t="s">
        <v>379</v>
      </c>
      <c r="N131" s="840">
        <v>13.6</v>
      </c>
      <c r="O131" s="3"/>
      <c r="P131" s="3"/>
      <c r="Q131" s="3"/>
      <c r="R131" s="4"/>
    </row>
    <row r="132" spans="1:18" ht="13.8" thickBot="1">
      <c r="A132" t="s">
        <v>282</v>
      </c>
      <c r="B132" t="s">
        <v>283</v>
      </c>
      <c r="D132" s="101">
        <f>K60</f>
        <v>93.287999999999997</v>
      </c>
      <c r="E132" s="100"/>
      <c r="F132" s="101"/>
      <c r="G132" s="13"/>
      <c r="J132" s="101"/>
      <c r="K132" s="101"/>
      <c r="M132" s="389" t="s">
        <v>380</v>
      </c>
      <c r="N132" s="841">
        <v>0</v>
      </c>
      <c r="O132" s="155"/>
      <c r="P132" s="155"/>
      <c r="Q132" s="155"/>
      <c r="R132" s="156"/>
    </row>
    <row r="133" spans="1:18">
      <c r="A133" t="s">
        <v>284</v>
      </c>
      <c r="B133" t="s">
        <v>285</v>
      </c>
      <c r="D133" s="101">
        <f>J60</f>
        <v>81.12</v>
      </c>
      <c r="E133" s="100"/>
      <c r="F133" s="101"/>
      <c r="G133" s="13"/>
      <c r="J133" s="101"/>
      <c r="K133" s="101"/>
      <c r="M133" s="18" t="s">
        <v>406</v>
      </c>
      <c r="N133" s="145">
        <f>N131*N129</f>
        <v>27.2</v>
      </c>
      <c r="O133" s="6"/>
      <c r="P133" s="6"/>
      <c r="Q133" s="6"/>
      <c r="R133" s="7"/>
    </row>
    <row r="134" spans="1:18">
      <c r="A134" t="s">
        <v>286</v>
      </c>
      <c r="B134" t="s">
        <v>287</v>
      </c>
      <c r="D134" s="101">
        <f>K61</f>
        <v>93.287999999999997</v>
      </c>
      <c r="E134" s="100"/>
      <c r="F134" s="101"/>
      <c r="G134" s="13"/>
      <c r="J134" s="101"/>
      <c r="K134" s="101"/>
      <c r="M134" s="18" t="s">
        <v>407</v>
      </c>
      <c r="N134" s="145">
        <f>N130*N132</f>
        <v>0</v>
      </c>
      <c r="O134" s="6"/>
      <c r="P134" s="6"/>
      <c r="Q134" s="6"/>
      <c r="R134" s="7"/>
    </row>
    <row r="135" spans="1:18" ht="13.8" thickBot="1">
      <c r="A135" t="s">
        <v>288</v>
      </c>
      <c r="B135" t="s">
        <v>289</v>
      </c>
      <c r="D135" s="101">
        <f>J61</f>
        <v>81.12</v>
      </c>
      <c r="E135" s="100"/>
      <c r="F135" s="101"/>
      <c r="G135" s="13"/>
      <c r="J135" s="101"/>
      <c r="K135" s="101"/>
      <c r="M135" s="18"/>
      <c r="N135" s="145"/>
      <c r="O135" s="6"/>
      <c r="P135" s="6"/>
      <c r="Q135" s="6"/>
      <c r="R135" s="7"/>
    </row>
    <row r="136" spans="1:18" ht="13.8" thickBot="1">
      <c r="D136" s="101"/>
      <c r="E136" s="100"/>
      <c r="F136" s="101"/>
      <c r="G136" s="13"/>
      <c r="J136" s="101"/>
      <c r="K136" s="101"/>
      <c r="M136" s="386" t="s">
        <v>396</v>
      </c>
      <c r="N136" s="835">
        <v>65</v>
      </c>
      <c r="O136" s="387"/>
      <c r="P136" s="387"/>
      <c r="Q136" s="387"/>
      <c r="R136" s="393"/>
    </row>
    <row r="137" spans="1:18" ht="13.8" thickBot="1">
      <c r="D137" s="101"/>
      <c r="E137" s="100"/>
      <c r="F137" s="101"/>
      <c r="G137" s="13"/>
      <c r="J137" s="101"/>
      <c r="K137" s="101"/>
      <c r="M137" s="386" t="s">
        <v>397</v>
      </c>
      <c r="N137" s="835">
        <v>0</v>
      </c>
      <c r="O137" s="387"/>
      <c r="P137" s="387"/>
      <c r="Q137" s="387"/>
      <c r="R137" s="393"/>
    </row>
    <row r="138" spans="1:18">
      <c r="A138" t="s">
        <v>290</v>
      </c>
      <c r="B138" t="s">
        <v>136</v>
      </c>
      <c r="D138" s="101"/>
      <c r="E138" s="100"/>
      <c r="F138" s="101"/>
      <c r="G138" s="13"/>
      <c r="J138" s="101"/>
      <c r="K138" s="101"/>
      <c r="M138" s="18"/>
      <c r="N138" s="145"/>
      <c r="O138" s="6"/>
      <c r="P138" s="6"/>
      <c r="Q138" s="6"/>
      <c r="R138" s="7"/>
    </row>
    <row r="139" spans="1:18">
      <c r="A139">
        <v>57</v>
      </c>
      <c r="B139" t="s">
        <v>291</v>
      </c>
      <c r="D139" s="101">
        <f>2*(J43+J44)+J45+J46-J73</f>
        <v>370.28000000000003</v>
      </c>
      <c r="E139" s="100"/>
      <c r="F139" s="101"/>
      <c r="G139" s="13"/>
      <c r="J139" s="101"/>
      <c r="K139" s="101"/>
      <c r="M139" s="146" t="s">
        <v>424</v>
      </c>
      <c r="N139" s="160">
        <f>Okna!E15</f>
        <v>30</v>
      </c>
      <c r="O139" s="147"/>
      <c r="P139" s="147"/>
      <c r="Q139" s="147"/>
      <c r="R139" s="262"/>
    </row>
    <row r="140" spans="1:18" ht="13.8" thickBot="1">
      <c r="A140">
        <v>58</v>
      </c>
      <c r="B140" t="s">
        <v>292</v>
      </c>
      <c r="D140" s="101">
        <f>2*(J51+J52)+N73</f>
        <v>15</v>
      </c>
      <c r="E140" s="100"/>
      <c r="F140" s="101"/>
      <c r="G140" s="13"/>
      <c r="J140" s="101"/>
      <c r="K140" s="101"/>
      <c r="M140" s="146" t="s">
        <v>255</v>
      </c>
      <c r="N140" s="160">
        <v>7.9</v>
      </c>
      <c r="O140" s="147"/>
      <c r="P140" s="147"/>
      <c r="Q140" s="147"/>
      <c r="R140" s="262"/>
    </row>
    <row r="141" spans="1:18" ht="13.8" thickBot="1">
      <c r="D141" s="101"/>
      <c r="E141" s="100"/>
      <c r="F141" s="101"/>
      <c r="G141" s="13"/>
      <c r="J141" s="101"/>
      <c r="K141" s="101"/>
      <c r="M141" s="386" t="s">
        <v>404</v>
      </c>
      <c r="N141" s="835">
        <v>2</v>
      </c>
      <c r="O141" s="121"/>
      <c r="P141" s="121"/>
      <c r="Q141" s="121"/>
      <c r="R141" s="140"/>
    </row>
    <row r="142" spans="1:18" ht="13.8" thickBot="1">
      <c r="D142" s="101"/>
      <c r="E142" s="100"/>
      <c r="F142" s="101"/>
      <c r="G142" s="13"/>
      <c r="J142" s="101"/>
      <c r="K142" s="101"/>
      <c r="M142" s="386" t="s">
        <v>405</v>
      </c>
      <c r="N142" s="835">
        <v>0</v>
      </c>
      <c r="O142" s="121"/>
      <c r="P142" s="121"/>
      <c r="Q142" s="121"/>
      <c r="R142" s="140"/>
    </row>
    <row r="143" spans="1:18" ht="13.8" thickBot="1">
      <c r="D143" s="101"/>
      <c r="E143" s="100"/>
      <c r="F143" s="101"/>
      <c r="G143" s="13"/>
      <c r="J143" s="101"/>
      <c r="K143" s="101"/>
      <c r="M143" s="18"/>
      <c r="N143" s="145"/>
      <c r="O143" s="6"/>
      <c r="P143" s="6"/>
      <c r="Q143" s="6"/>
      <c r="R143" s="7"/>
    </row>
    <row r="144" spans="1:18" ht="13.8" thickBot="1">
      <c r="A144" t="s">
        <v>293</v>
      </c>
      <c r="B144" t="s">
        <v>108</v>
      </c>
      <c r="D144" s="101"/>
      <c r="E144" s="100"/>
      <c r="F144" s="101"/>
      <c r="G144" s="13"/>
      <c r="J144" s="101"/>
      <c r="K144" s="101"/>
      <c r="M144" s="386" t="s">
        <v>430</v>
      </c>
      <c r="N144" s="835">
        <v>8</v>
      </c>
      <c r="O144" s="121"/>
      <c r="P144" s="121"/>
      <c r="Q144" s="121"/>
      <c r="R144" s="140"/>
    </row>
    <row r="145" spans="4:18" ht="13.8" thickBot="1">
      <c r="D145" s="101"/>
      <c r="E145" s="100"/>
      <c r="F145" s="101"/>
      <c r="G145" s="13"/>
      <c r="J145" s="101"/>
      <c r="M145" s="386" t="s">
        <v>420</v>
      </c>
      <c r="N145" s="835">
        <v>0</v>
      </c>
      <c r="O145" s="121"/>
      <c r="P145" s="121"/>
      <c r="Q145" s="121"/>
      <c r="R145" s="140"/>
    </row>
    <row r="146" spans="4:18" ht="13.8" thickBot="1">
      <c r="D146" s="101"/>
      <c r="E146" s="100"/>
      <c r="F146" s="101"/>
      <c r="G146" s="13"/>
      <c r="J146" s="101"/>
      <c r="M146" s="386" t="s">
        <v>421</v>
      </c>
      <c r="N146" s="835">
        <v>0</v>
      </c>
      <c r="O146" s="121"/>
      <c r="P146" s="121"/>
      <c r="Q146" s="121"/>
      <c r="R146" s="140"/>
    </row>
    <row r="147" spans="4:18">
      <c r="D147" s="101"/>
      <c r="E147" s="100"/>
      <c r="F147" s="101"/>
      <c r="G147" s="13"/>
      <c r="J147" s="101"/>
      <c r="M147" s="18"/>
      <c r="N147" s="145"/>
      <c r="O147" s="6"/>
      <c r="P147" s="6"/>
      <c r="Q147" s="6"/>
      <c r="R147" s="7"/>
    </row>
    <row r="148" spans="4:18">
      <c r="D148" s="101"/>
      <c r="E148" s="100"/>
      <c r="F148" s="101"/>
      <c r="G148" s="13"/>
      <c r="J148" s="101"/>
      <c r="M148" s="149" t="s">
        <v>431</v>
      </c>
      <c r="N148" s="382">
        <f>N23*5</f>
        <v>11.5</v>
      </c>
      <c r="O148" s="6"/>
      <c r="P148" s="6"/>
      <c r="Q148" s="6"/>
      <c r="R148" s="7"/>
    </row>
    <row r="149" spans="4:18">
      <c r="D149" s="101"/>
      <c r="E149" s="100"/>
      <c r="F149" s="101"/>
      <c r="G149" s="13"/>
      <c r="J149" s="101"/>
      <c r="M149" s="149" t="s">
        <v>253</v>
      </c>
      <c r="N149" s="145">
        <f>N31+N32+N31</f>
        <v>35.200000000000003</v>
      </c>
      <c r="O149" s="6"/>
      <c r="P149" s="6"/>
      <c r="Q149" s="6"/>
      <c r="R149" s="7"/>
    </row>
    <row r="150" spans="4:18">
      <c r="D150" s="101"/>
      <c r="E150" s="100"/>
      <c r="F150" s="101"/>
      <c r="G150" s="13"/>
      <c r="J150" s="101"/>
      <c r="M150" s="149" t="s">
        <v>519</v>
      </c>
      <c r="N150" s="381">
        <f>480*D8</f>
        <v>5523.3884159999998</v>
      </c>
      <c r="O150" s="6"/>
      <c r="P150" s="6"/>
      <c r="Q150" s="6"/>
      <c r="R150" s="7"/>
    </row>
    <row r="151" spans="4:18">
      <c r="D151" s="101"/>
      <c r="E151" s="100"/>
      <c r="F151" s="101"/>
      <c r="G151" s="13"/>
      <c r="J151" s="101"/>
      <c r="M151" s="149" t="s">
        <v>520</v>
      </c>
      <c r="N151" s="381">
        <f>670*D8</f>
        <v>7709.7296639999995</v>
      </c>
      <c r="O151" s="6"/>
      <c r="P151" s="6"/>
      <c r="Q151" s="6"/>
      <c r="R151" s="7"/>
    </row>
    <row r="152" spans="4:18">
      <c r="D152" s="101"/>
      <c r="E152" s="100"/>
      <c r="F152" s="101"/>
      <c r="G152" s="13"/>
      <c r="J152" s="101"/>
      <c r="M152" s="146"/>
      <c r="N152" s="145">
        <v>0</v>
      </c>
      <c r="O152" s="6"/>
      <c r="P152" s="6"/>
      <c r="Q152" s="6"/>
      <c r="R152" s="7"/>
    </row>
    <row r="153" spans="4:18">
      <c r="D153" s="101"/>
      <c r="E153" s="100"/>
      <c r="F153" s="101"/>
      <c r="G153" s="13"/>
      <c r="J153" s="101"/>
      <c r="M153" s="146"/>
      <c r="N153" s="145"/>
      <c r="O153" s="6"/>
      <c r="P153" s="6"/>
      <c r="Q153" s="6"/>
      <c r="R153" s="7"/>
    </row>
    <row r="154" spans="4:18">
      <c r="D154" s="101"/>
      <c r="E154" s="100"/>
      <c r="F154" s="101"/>
      <c r="G154" s="13"/>
      <c r="J154" s="101"/>
      <c r="M154" s="146"/>
      <c r="N154" s="145"/>
      <c r="O154" s="6"/>
      <c r="P154" s="6"/>
      <c r="Q154" s="6"/>
      <c r="R154" s="7"/>
    </row>
    <row r="155" spans="4:18" ht="13.8" thickBot="1">
      <c r="D155" s="101"/>
      <c r="E155" s="100"/>
      <c r="F155" s="101"/>
      <c r="G155" s="13"/>
      <c r="M155" s="149" t="s">
        <v>517</v>
      </c>
      <c r="N155" s="382">
        <f>N86*60</f>
        <v>8400</v>
      </c>
      <c r="O155" s="6"/>
      <c r="P155" s="6"/>
      <c r="Q155" s="6"/>
      <c r="R155" s="7"/>
    </row>
    <row r="156" spans="4:18" ht="13.8" thickBot="1">
      <c r="D156" s="101"/>
      <c r="E156" s="100"/>
      <c r="F156" s="101"/>
      <c r="G156" s="13"/>
      <c r="M156" s="386" t="s">
        <v>516</v>
      </c>
      <c r="N156" s="845">
        <v>0</v>
      </c>
      <c r="O156" s="6"/>
      <c r="P156" s="6"/>
      <c r="Q156" s="6"/>
      <c r="R156" s="7"/>
    </row>
    <row r="157" spans="4:18" ht="13.8" thickBot="1">
      <c r="D157" s="101"/>
      <c r="E157" s="100"/>
      <c r="F157" s="101"/>
      <c r="G157" s="13"/>
      <c r="M157" s="386" t="s">
        <v>577</v>
      </c>
      <c r="N157" s="845">
        <v>0</v>
      </c>
      <c r="O157" s="6"/>
      <c r="P157" s="6"/>
      <c r="Q157" s="6"/>
      <c r="R157" s="7"/>
    </row>
    <row r="158" spans="4:18">
      <c r="D158" s="101"/>
      <c r="E158" s="100"/>
      <c r="F158" s="101"/>
      <c r="G158" s="13"/>
      <c r="H158" s="102"/>
      <c r="M158" s="146" t="s">
        <v>575</v>
      </c>
      <c r="N158" s="160">
        <v>0</v>
      </c>
      <c r="O158" s="6"/>
      <c r="P158" s="6"/>
      <c r="Q158" s="6"/>
      <c r="R158" s="7"/>
    </row>
    <row r="159" spans="4:18">
      <c r="D159" s="101"/>
      <c r="E159" s="100"/>
      <c r="F159" s="101"/>
      <c r="G159" s="13"/>
      <c r="M159" s="18"/>
      <c r="N159" s="145"/>
      <c r="O159" s="6"/>
      <c r="P159" s="6"/>
      <c r="Q159" s="6"/>
      <c r="R159" s="7"/>
    </row>
    <row r="160" spans="4:18">
      <c r="D160" s="101"/>
      <c r="E160" s="100"/>
      <c r="F160" s="101"/>
      <c r="G160" s="13"/>
      <c r="M160" s="18"/>
      <c r="N160" s="145"/>
      <c r="O160" s="6"/>
      <c r="P160" s="6"/>
      <c r="Q160" s="6"/>
      <c r="R160" s="7"/>
    </row>
    <row r="161" spans="1:18">
      <c r="D161" s="101"/>
      <c r="G161" s="13"/>
      <c r="M161" s="146" t="s">
        <v>584</v>
      </c>
      <c r="N161" s="839"/>
      <c r="O161" s="6"/>
      <c r="P161" s="6"/>
      <c r="Q161" s="6"/>
      <c r="R161" s="7"/>
    </row>
    <row r="162" spans="1:18">
      <c r="D162" s="101"/>
      <c r="G162" s="13"/>
      <c r="M162" s="18"/>
      <c r="N162" s="145"/>
      <c r="O162" s="6"/>
      <c r="P162" s="6"/>
      <c r="Q162" s="6"/>
      <c r="R162" s="7"/>
    </row>
    <row r="163" spans="1:18">
      <c r="D163" s="101"/>
      <c r="G163" s="13"/>
      <c r="M163" s="18"/>
      <c r="N163" s="145"/>
      <c r="O163" s="6"/>
      <c r="P163" s="6"/>
      <c r="Q163" s="6"/>
      <c r="R163" s="7"/>
    </row>
    <row r="164" spans="1:18">
      <c r="D164" s="101"/>
      <c r="G164" s="13"/>
      <c r="M164" s="18" t="s">
        <v>523</v>
      </c>
      <c r="N164" s="846">
        <f>N124+N125+N136+N137+N161</f>
        <v>68.06</v>
      </c>
      <c r="O164" s="6"/>
      <c r="P164" s="6" t="s">
        <v>582</v>
      </c>
      <c r="Q164" s="6">
        <f>N53+N71-(N102*0.25+N105*0.1+N116*0.25+N118*0.1)</f>
        <v>76.42</v>
      </c>
      <c r="R164" s="7"/>
    </row>
    <row r="165" spans="1:18" ht="13.8" thickBot="1">
      <c r="D165" s="101"/>
      <c r="G165" s="13"/>
      <c r="M165" s="153"/>
      <c r="N165" s="154"/>
      <c r="O165" s="155"/>
      <c r="P165" s="155"/>
      <c r="Q165" s="155"/>
      <c r="R165" s="156"/>
    </row>
    <row r="166" spans="1:18">
      <c r="D166" s="101"/>
      <c r="G166" s="13"/>
      <c r="N166" s="101"/>
    </row>
    <row r="167" spans="1:18">
      <c r="D167" s="101"/>
      <c r="G167" s="13"/>
      <c r="N167" s="101"/>
    </row>
    <row r="168" spans="1:18">
      <c r="D168" s="101"/>
      <c r="G168" s="13"/>
      <c r="N168" s="101"/>
    </row>
    <row r="169" spans="1:18">
      <c r="D169" s="101"/>
      <c r="G169" s="13"/>
      <c r="N169" s="101"/>
    </row>
    <row r="170" spans="1:18">
      <c r="D170" s="101"/>
      <c r="G170" s="13"/>
      <c r="N170" s="101"/>
    </row>
    <row r="171" spans="1:18">
      <c r="D171" s="101"/>
      <c r="G171" s="13"/>
      <c r="N171" s="101"/>
    </row>
    <row r="172" spans="1:18">
      <c r="A172" s="96"/>
      <c r="B172" s="96"/>
      <c r="C172" s="96"/>
      <c r="D172" s="96"/>
      <c r="E172" s="96"/>
      <c r="F172" s="96"/>
      <c r="G172" s="96"/>
    </row>
    <row r="175" spans="1:18">
      <c r="B175" s="102"/>
      <c r="E175" s="102"/>
    </row>
    <row r="186" spans="4:14">
      <c r="D186" s="101"/>
      <c r="G186" s="13"/>
      <c r="N186" s="101"/>
    </row>
    <row r="187" spans="4:14">
      <c r="D187" s="101"/>
      <c r="G187" s="13"/>
      <c r="N187" s="101"/>
    </row>
    <row r="188" spans="4:14">
      <c r="D188" s="101"/>
      <c r="G188" s="13"/>
      <c r="N188" s="101"/>
    </row>
    <row r="189" spans="4:14">
      <c r="D189" s="101"/>
      <c r="G189" s="13"/>
      <c r="N189" s="101"/>
    </row>
    <row r="190" spans="4:14">
      <c r="D190" s="101"/>
      <c r="G190" s="13"/>
      <c r="N190" s="101"/>
    </row>
    <row r="191" spans="4:14">
      <c r="D191" s="101"/>
      <c r="G191" s="13"/>
      <c r="N191" s="101"/>
    </row>
    <row r="192" spans="4:14">
      <c r="D192" s="101"/>
      <c r="G192" s="13"/>
      <c r="N192" s="101"/>
    </row>
    <row r="193" spans="4:14">
      <c r="D193" s="101"/>
      <c r="G193" s="13"/>
      <c r="N193" s="101"/>
    </row>
    <row r="194" spans="4:14">
      <c r="D194" s="101"/>
      <c r="G194" s="13"/>
      <c r="N194" s="101"/>
    </row>
    <row r="195" spans="4:14">
      <c r="D195" s="101"/>
      <c r="G195" s="13"/>
      <c r="N195" s="101"/>
    </row>
    <row r="196" spans="4:14">
      <c r="D196" s="101"/>
      <c r="G196" s="13"/>
      <c r="N196" s="101"/>
    </row>
    <row r="197" spans="4:14">
      <c r="D197" s="101"/>
      <c r="G197" s="13"/>
      <c r="N197" s="101"/>
    </row>
    <row r="198" spans="4:14">
      <c r="D198" s="101"/>
      <c r="G198" s="13"/>
      <c r="N198" s="101"/>
    </row>
    <row r="199" spans="4:14">
      <c r="D199" s="101"/>
      <c r="G199" s="13"/>
      <c r="N199" s="101"/>
    </row>
    <row r="200" spans="4:14">
      <c r="D200" s="101"/>
      <c r="G200" s="13"/>
      <c r="N200" s="100"/>
    </row>
    <row r="201" spans="4:14">
      <c r="D201" s="101"/>
      <c r="G201" s="13"/>
      <c r="N201" s="100"/>
    </row>
    <row r="202" spans="4:14">
      <c r="D202" s="101"/>
      <c r="G202" s="13"/>
      <c r="N202" s="100"/>
    </row>
    <row r="203" spans="4:14">
      <c r="D203" s="101"/>
      <c r="G203" s="13"/>
      <c r="N203" s="100"/>
    </row>
    <row r="204" spans="4:14">
      <c r="D204" s="101"/>
      <c r="G204" s="13"/>
      <c r="N204" s="100"/>
    </row>
    <row r="205" spans="4:14">
      <c r="D205" s="101"/>
      <c r="G205" s="13"/>
      <c r="N205" s="100"/>
    </row>
    <row r="206" spans="4:14">
      <c r="D206" s="101"/>
      <c r="G206" s="13"/>
      <c r="N206" s="100"/>
    </row>
    <row r="207" spans="4:14">
      <c r="D207" s="101"/>
      <c r="G207" s="13"/>
      <c r="N207" s="100"/>
    </row>
    <row r="208" spans="4:14">
      <c r="D208" s="101"/>
      <c r="G208" s="13"/>
      <c r="N208" s="100"/>
    </row>
    <row r="209" spans="4:14">
      <c r="D209" s="101"/>
      <c r="G209" s="13"/>
      <c r="N209" s="100"/>
    </row>
    <row r="210" spans="4:14">
      <c r="D210" s="101"/>
      <c r="G210" s="13"/>
      <c r="N210" s="100"/>
    </row>
    <row r="211" spans="4:14">
      <c r="D211" s="101"/>
      <c r="G211" s="13"/>
      <c r="N211" s="100"/>
    </row>
    <row r="212" spans="4:14">
      <c r="D212" s="101"/>
      <c r="G212" s="13"/>
      <c r="N212" s="100"/>
    </row>
    <row r="213" spans="4:14">
      <c r="D213" s="101"/>
      <c r="G213" s="13"/>
      <c r="N213" s="100"/>
    </row>
    <row r="214" spans="4:14">
      <c r="D214" s="101"/>
      <c r="G214" s="13"/>
      <c r="N214" s="100"/>
    </row>
    <row r="215" spans="4:14">
      <c r="D215" s="101"/>
      <c r="G215" s="13"/>
      <c r="N215" s="100"/>
    </row>
    <row r="216" spans="4:14">
      <c r="D216" s="101"/>
      <c r="G216" s="13"/>
      <c r="N216" s="100"/>
    </row>
    <row r="217" spans="4:14">
      <c r="N217" s="100"/>
    </row>
    <row r="218" spans="4:14">
      <c r="N218" s="100"/>
    </row>
    <row r="219" spans="4:14">
      <c r="N219" s="100"/>
    </row>
    <row r="220" spans="4:14">
      <c r="N220" s="100"/>
    </row>
    <row r="221" spans="4:14">
      <c r="N221" s="100"/>
    </row>
    <row r="222" spans="4:14">
      <c r="N222" s="100"/>
    </row>
    <row r="223" spans="4:14">
      <c r="N223" s="100"/>
    </row>
    <row r="224" spans="4:14">
      <c r="N224" s="100"/>
    </row>
    <row r="225" spans="14:14">
      <c r="N225" s="100"/>
    </row>
    <row r="226" spans="14:14">
      <c r="N226" s="100"/>
    </row>
    <row r="227" spans="14:14">
      <c r="N227" s="100"/>
    </row>
    <row r="228" spans="14:14">
      <c r="N228" s="100"/>
    </row>
    <row r="229" spans="14:14">
      <c r="N229" s="100"/>
    </row>
    <row r="230" spans="14:14">
      <c r="N230" s="100"/>
    </row>
    <row r="231" spans="14:14">
      <c r="N231" s="100"/>
    </row>
    <row r="232" spans="14:14">
      <c r="N232" s="100"/>
    </row>
    <row r="233" spans="14:14">
      <c r="N233" s="100"/>
    </row>
    <row r="234" spans="14:14">
      <c r="N234" s="100"/>
    </row>
    <row r="235" spans="14:14">
      <c r="N235" s="100"/>
    </row>
    <row r="236" spans="14:14">
      <c r="N236" s="100"/>
    </row>
    <row r="237" spans="14:14">
      <c r="N237" s="100"/>
    </row>
    <row r="238" spans="14:14">
      <c r="N238" s="100"/>
    </row>
    <row r="239" spans="14:14">
      <c r="N239" s="100"/>
    </row>
  </sheetData>
  <phoneticPr fontId="2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57</vt:i4>
      </vt:variant>
    </vt:vector>
  </HeadingPairs>
  <TitlesOfParts>
    <vt:vector size="73" baseType="lpstr">
      <vt:lpstr>Investor</vt:lpstr>
      <vt:lpstr>zákazník</vt:lpstr>
      <vt:lpstr>Krycí list</vt:lpstr>
      <vt:lpstr>Rozpočet-sumář</vt:lpstr>
      <vt:lpstr>Položky sumář</vt:lpstr>
      <vt:lpstr>Standardy</vt:lpstr>
      <vt:lpstr>Položky</vt:lpstr>
      <vt:lpstr>Okna</vt:lpstr>
      <vt:lpstr>Výkaz výměr</vt:lpstr>
      <vt:lpstr>Náklady</vt:lpstr>
      <vt:lpstr>Vyúčtování</vt:lpstr>
      <vt:lpstr>Zisk1</vt:lpstr>
      <vt:lpstr>Krycí list (2)</vt:lpstr>
      <vt:lpstr>Rozpočet-sumář (2)</vt:lpstr>
      <vt:lpstr>Položky sumář (2)</vt:lpstr>
      <vt:lpstr>List2</vt:lpstr>
      <vt:lpstr>'Krycí list (2)'!cisloobjektu</vt:lpstr>
      <vt:lpstr>cisloobjektu</vt:lpstr>
      <vt:lpstr>'Krycí list (2)'!cislostavby</vt:lpstr>
      <vt:lpstr>cislostavby</vt:lpstr>
      <vt:lpstr>'Krycí list (2)'!Datum</vt:lpstr>
      <vt:lpstr>Datum</vt:lpstr>
      <vt:lpstr>'Rozpočet-sumář (2)'!Dil</vt:lpstr>
      <vt:lpstr>Dil</vt:lpstr>
      <vt:lpstr>'Rozpočet-sumář (2)'!Dodavka</vt:lpstr>
      <vt:lpstr>Dodavka</vt:lpstr>
      <vt:lpstr>'Rozpočet-sumář (2)'!HSV</vt:lpstr>
      <vt:lpstr>HSV</vt:lpstr>
      <vt:lpstr>'Rozpočet-sumář (2)'!HZS</vt:lpstr>
      <vt:lpstr>HZS</vt:lpstr>
      <vt:lpstr>'Krycí list (2)'!JKSO</vt:lpstr>
      <vt:lpstr>JKSO</vt:lpstr>
      <vt:lpstr>'Krycí list (2)'!MJ</vt:lpstr>
      <vt:lpstr>MJ</vt:lpstr>
      <vt:lpstr>'Rozpočet-sumář (2)'!Mont</vt:lpstr>
      <vt:lpstr>Mont</vt:lpstr>
      <vt:lpstr>'Rozpočet-sumář (2)'!NazevDilu</vt:lpstr>
      <vt:lpstr>NazevDilu</vt:lpstr>
      <vt:lpstr>'Krycí list (2)'!nazevobjektu</vt:lpstr>
      <vt:lpstr>nazevobjektu</vt:lpstr>
      <vt:lpstr>'Krycí list (2)'!nazevstavby</vt:lpstr>
      <vt:lpstr>nazevstavby</vt:lpstr>
      <vt:lpstr>Položky!Názvy_tisku</vt:lpstr>
      <vt:lpstr>'Rozpočet-sumář'!Názvy_tisku</vt:lpstr>
      <vt:lpstr>'Rozpočet-sumář (2)'!Názvy_tisku</vt:lpstr>
      <vt:lpstr>Položky!Oblast_tisku</vt:lpstr>
      <vt:lpstr>'Krycí list (2)'!PocetMJ</vt:lpstr>
      <vt:lpstr>PocetMJ</vt:lpstr>
      <vt:lpstr>'Krycí list (2)'!Poznamka</vt:lpstr>
      <vt:lpstr>Poznamka</vt:lpstr>
      <vt:lpstr>'Krycí list (2)'!Projektant</vt:lpstr>
      <vt:lpstr>Projektant</vt:lpstr>
      <vt:lpstr>'Rozpočet-sumář (2)'!PSV</vt:lpstr>
      <vt:lpstr>PSV</vt:lpstr>
      <vt:lpstr>'Krycí list (2)'!SazbaDPH1</vt:lpstr>
      <vt:lpstr>SazbaDPH1</vt:lpstr>
      <vt:lpstr>'Krycí list (2)'!SazbaDPH2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'Rozpočet-sumář (2)'!VRN</vt:lpstr>
      <vt:lpstr>VRN</vt:lpstr>
      <vt:lpstr>'Krycí list (2)'!Zaklad22</vt:lpstr>
      <vt:lpstr>Zaklad22</vt:lpstr>
      <vt:lpstr>'Krycí list (2)'!Zaklad5</vt:lpstr>
      <vt:lpstr>Zaklad5</vt:lpstr>
      <vt:lpstr>'Krycí list (2)'!Zhotovitel</vt:lpstr>
      <vt:lpstr>Zhotovitel</vt:lpstr>
    </vt:vector>
  </TitlesOfParts>
  <Company>D.I.S, spol. s 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Škarková</dc:creator>
  <cp:lastModifiedBy>Boss</cp:lastModifiedBy>
  <cp:lastPrinted>2021-08-26T10:59:53Z</cp:lastPrinted>
  <dcterms:created xsi:type="dcterms:W3CDTF">2005-08-26T13:04:55Z</dcterms:created>
  <dcterms:modified xsi:type="dcterms:W3CDTF">2022-02-07T14:24:33Z</dcterms:modified>
</cp:coreProperties>
</file>